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Drive\4. Admin\Marketing\Examples of Work\Riverbend Apartments\"/>
    </mc:Choice>
  </mc:AlternateContent>
  <xr:revisionPtr revIDLastSave="0" documentId="13_ncr:1_{258BD6A7-6C3E-4FFE-ABA0-357F2C579534}" xr6:coauthVersionLast="47" xr6:coauthVersionMax="47" xr10:uidLastSave="{00000000-0000-0000-0000-000000000000}"/>
  <bookViews>
    <workbookView xWindow="2628" yWindow="1116" windowWidth="18588" windowHeight="12660" firstSheet="1" activeTab="1" xr2:uid="{0A1342D7-2846-46C9-B68E-516AA9A4BCCA}"/>
  </bookViews>
  <sheets>
    <sheet name="SWPP" sheetId="13" r:id="rId1"/>
    <sheet name="Demo" sheetId="4" r:id="rId2"/>
    <sheet name="Earthwork" sheetId="5" r:id="rId3"/>
    <sheet name="Storm Pipe" sheetId="6" r:id="rId4"/>
    <sheet name="Sewer Pipe" sheetId="7" r:id="rId5"/>
    <sheet name="Water Pipe" sheetId="3" r:id="rId6"/>
    <sheet name="Misc.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G14" i="5"/>
  <c r="H14" i="5"/>
  <c r="I14" i="5"/>
  <c r="J14" i="5"/>
  <c r="K14" i="5"/>
  <c r="L14" i="5"/>
  <c r="M14" i="5"/>
  <c r="F9" i="5"/>
  <c r="D8" i="4"/>
  <c r="F7" i="5"/>
  <c r="F8" i="5"/>
  <c r="F10" i="5"/>
  <c r="F11" i="5"/>
  <c r="F6" i="5"/>
  <c r="N14" i="5"/>
  <c r="B1" i="5"/>
  <c r="B1" i="4"/>
  <c r="B1" i="14" s="1"/>
  <c r="B1" i="3" l="1"/>
  <c r="B1" i="7"/>
  <c r="B1" i="6"/>
  <c r="I19" i="3"/>
  <c r="G19" i="3"/>
  <c r="H19" i="3"/>
  <c r="K16" i="7"/>
  <c r="L16" i="7"/>
  <c r="M16" i="7"/>
  <c r="N16" i="7"/>
  <c r="O16" i="7"/>
  <c r="P16" i="7"/>
  <c r="Q16" i="7"/>
  <c r="J16" i="7"/>
  <c r="I16" i="7"/>
  <c r="H16" i="7"/>
  <c r="G16" i="7"/>
  <c r="F16" i="7"/>
  <c r="E16" i="7"/>
  <c r="E24" i="6"/>
  <c r="D16" i="7"/>
  <c r="I24" i="6"/>
  <c r="D6" i="4" l="1"/>
  <c r="H8" i="4" s="1"/>
  <c r="C13" i="4"/>
  <c r="Q19" i="3"/>
  <c r="P19" i="3"/>
  <c r="O19" i="3"/>
  <c r="N19" i="3"/>
  <c r="M19" i="3"/>
  <c r="L19" i="3"/>
  <c r="K19" i="3"/>
  <c r="J19" i="3"/>
  <c r="F19" i="3"/>
  <c r="E19" i="3"/>
  <c r="F24" i="6"/>
  <c r="G24" i="6"/>
  <c r="H24" i="6"/>
  <c r="J24" i="6"/>
  <c r="K24" i="6"/>
  <c r="L24" i="6"/>
  <c r="M24" i="6"/>
  <c r="N24" i="6"/>
  <c r="O24" i="6"/>
  <c r="P24" i="6"/>
  <c r="Q24" i="6"/>
  <c r="D24" i="6"/>
  <c r="D14" i="5"/>
  <c r="E14" i="5"/>
  <c r="C14" i="5"/>
  <c r="D13" i="4" l="1"/>
  <c r="F14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<sst xmlns="http://schemas.openxmlformats.org/spreadsheetml/2006/main" count="194" uniqueCount="110">
  <si>
    <t>Structure</t>
  </si>
  <si>
    <t>Count (EA)</t>
  </si>
  <si>
    <t>Average Depth (FT)</t>
  </si>
  <si>
    <t>0-4</t>
  </si>
  <si>
    <t>14+</t>
  </si>
  <si>
    <t>Above</t>
  </si>
  <si>
    <t>Totals</t>
  </si>
  <si>
    <t>4-6</t>
  </si>
  <si>
    <t>6-8</t>
  </si>
  <si>
    <t>8-10</t>
  </si>
  <si>
    <t>10-12</t>
  </si>
  <si>
    <t>12-14</t>
  </si>
  <si>
    <t>Structures -</t>
  </si>
  <si>
    <t>Area (SF)</t>
  </si>
  <si>
    <t>Cut (CY)</t>
  </si>
  <si>
    <t>Demolition</t>
  </si>
  <si>
    <t>Import/Export (CY)</t>
  </si>
  <si>
    <t>Earthwork</t>
  </si>
  <si>
    <t>Storm Pipe</t>
  </si>
  <si>
    <t>Depth</t>
  </si>
  <si>
    <t>Sewer Pipe</t>
  </si>
  <si>
    <t>Depth (FT)</t>
  </si>
  <si>
    <t>Water Pipe</t>
  </si>
  <si>
    <t>Subgrade Depth (FT)</t>
  </si>
  <si>
    <t>While Earthwork Digital LLC has made every attempt to ensure accuracy and completeness, we make no guarantee beyond the</t>
  </si>
  <si>
    <t>*Cut &amp; Fill Swell and Compaction Factors</t>
  </si>
  <si>
    <t xml:space="preserve">cost of our work. All information provided is subject to the client’s thorough review and the client has final responsibility for accuracy </t>
  </si>
  <si>
    <t xml:space="preserve">are not considered. All quantites are a </t>
  </si>
  <si>
    <t>and completeness of the data prior to its use. By acceptance of this takeoff, the purchaser agrees to the following statement:</t>
  </si>
  <si>
    <t>1:1 ratio.</t>
  </si>
  <si>
    <t xml:space="preserve">"I do hereby release and hold harmless Earthwork Digital LLC, Joseph Schnierlein, and his employees from any and all errors and </t>
  </si>
  <si>
    <t>omissions beyond the invoiced value of services rendered."</t>
  </si>
  <si>
    <t>Topsoil    (CY)</t>
  </si>
  <si>
    <t>Fill    (CY)</t>
  </si>
  <si>
    <t>Cut    (CY)</t>
  </si>
  <si>
    <t>Area      (SF)</t>
  </si>
  <si>
    <t>*Asphalt Tonnages use a multiplier of 0.075</t>
  </si>
  <si>
    <t>Example = 1,000 SF X 0.25 FT X 0.075 = 19 TN</t>
  </si>
  <si>
    <t>Concrete (CY)</t>
  </si>
  <si>
    <t>Export     (CY)</t>
  </si>
  <si>
    <t>Length       (FT)</t>
  </si>
  <si>
    <t>Excavation       (CY)</t>
  </si>
  <si>
    <t>Backfill       (CY)</t>
  </si>
  <si>
    <t>Bedding       (CY)</t>
  </si>
  <si>
    <t>Cover       (FT)</t>
  </si>
  <si>
    <t>Length        (FT)</t>
  </si>
  <si>
    <t>Excavation         (CY)</t>
  </si>
  <si>
    <t>Backfill        (CY)</t>
  </si>
  <si>
    <t>Bedding        (CY)</t>
  </si>
  <si>
    <t>Cover        (FT)</t>
  </si>
  <si>
    <t>Export      (CY)</t>
  </si>
  <si>
    <t>Sub Base (CY)</t>
  </si>
  <si>
    <t>Storm Water Pollution Protection</t>
  </si>
  <si>
    <t>Length (LF)</t>
  </si>
  <si>
    <t>Misc. Items</t>
  </si>
  <si>
    <t>Curb</t>
  </si>
  <si>
    <t>Paving - Asphalt</t>
  </si>
  <si>
    <t>Sidewalk</t>
  </si>
  <si>
    <t>Topsoil Respread</t>
  </si>
  <si>
    <t>9.5mm Asphalt (TN)</t>
  </si>
  <si>
    <t>19mm Asphalt (TN)</t>
  </si>
  <si>
    <t>Clear &amp; Grub Topsoil Strip</t>
  </si>
  <si>
    <t>Topsoil Strip (No Clearing)</t>
  </si>
  <si>
    <t>Path Removal</t>
  </si>
  <si>
    <t>Total Topsoil Strip</t>
  </si>
  <si>
    <t>CY</t>
  </si>
  <si>
    <t>Inlet Protection</t>
  </si>
  <si>
    <t>Silt Fence</t>
  </si>
  <si>
    <t>Concrete Curb</t>
  </si>
  <si>
    <t>Pervious Paving</t>
  </si>
  <si>
    <t>Porous Asphalt (TN)</t>
  </si>
  <si>
    <t>No. 57 Stone (CY)</t>
  </si>
  <si>
    <t>No. 2 Stone (CY)</t>
  </si>
  <si>
    <t>12" HDPE</t>
  </si>
  <si>
    <t>18" RCP</t>
  </si>
  <si>
    <t>24" HDPE</t>
  </si>
  <si>
    <t>30" Cleanout</t>
  </si>
  <si>
    <t>30" RCP</t>
  </si>
  <si>
    <t>48" Manhole</t>
  </si>
  <si>
    <t>60" Manhole</t>
  </si>
  <si>
    <t>Headwall</t>
  </si>
  <si>
    <t>Type A Inlet</t>
  </si>
  <si>
    <t>Type B Inlet</t>
  </si>
  <si>
    <t>Type E Inlet</t>
  </si>
  <si>
    <t>Yard Drain</t>
  </si>
  <si>
    <t>6" HDPE</t>
  </si>
  <si>
    <t>8" Cleanout</t>
  </si>
  <si>
    <t>10" Cleanout</t>
  </si>
  <si>
    <t>10" HDPE</t>
  </si>
  <si>
    <t>8" HDPE</t>
  </si>
  <si>
    <t>Cover       (CY)</t>
  </si>
  <si>
    <t>4" PVC</t>
  </si>
  <si>
    <t>8" SDR 35</t>
  </si>
  <si>
    <t>6" SDR 35</t>
  </si>
  <si>
    <t>6" Cleanout</t>
  </si>
  <si>
    <t>4" 45 Degree Bend</t>
  </si>
  <si>
    <t>6" 45 Degree Bend</t>
  </si>
  <si>
    <t>8" to 6" Tee</t>
  </si>
  <si>
    <t>8" Water Main</t>
  </si>
  <si>
    <t>6" Lateral</t>
  </si>
  <si>
    <t>6" x 8" Tee</t>
  </si>
  <si>
    <t>8" 22.5 Degree Bend</t>
  </si>
  <si>
    <t>8" 11.25 Degree Bend</t>
  </si>
  <si>
    <t>8" 45 Degree Bend</t>
  </si>
  <si>
    <t>Connection to Existing</t>
  </si>
  <si>
    <t>Hydrant</t>
  </si>
  <si>
    <t>Meter Pit</t>
  </si>
  <si>
    <t>8" Gate Valve</t>
  </si>
  <si>
    <t>Riverbend Apartments</t>
  </si>
  <si>
    <t>Building Pads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</si>
</sst>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Roboto Medium"/>
    </font>
    <font>
      <sz val="12"/>
      <color theme="1"/>
      <name val="Tahoma"/>
      <family val="2"/>
    </font>
    <font>
      <b/>
      <sz val="12"/>
      <color rgb="FFFFFFFF"/>
      <name val="Tahoma"/>
      <family val="2"/>
    </font>
    <font>
      <sz val="12"/>
      <color rgb="FF434343"/>
      <name val="Tahoma"/>
      <family val="2"/>
    </font>
    <font>
      <b/>
      <sz val="12"/>
      <color rgb="FF434343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u/>
      <sz val="14"/>
      <color theme="1"/>
      <name val="Tahoma"/>
      <family val="2"/>
    </font>
    <font>
      <sz val="8"/>
      <name val="Aptos Narrow"/>
      <family val="2"/>
      <scheme val="minor"/>
    </font>
    <font>
      <i/>
      <sz val="9"/>
      <color rgb="FF000000"/>
      <name val="Arial"/>
    </font>
    <font>
      <b/>
      <sz val="11"/>
      <color rgb="FFFF0000"/>
      <name val="Calibri"/>
    </font>
    <font>
      <b/>
      <u/>
      <sz val="12"/>
      <color rgb="FF434343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9B3642"/>
        <bgColor indexed="64"/>
      </patternFill>
    </fill>
    <fill>
      <patternFill patternType="solid">
        <fgColor rgb="FFE6CDD0"/>
        <bgColor indexed="64"/>
      </patternFill>
    </fill>
    <fill>
      <patternFill patternType="solid">
        <fgColor rgb="FF356854"/>
        <bgColor indexed="64"/>
      </patternFill>
    </fill>
    <fill>
      <patternFill patternType="solid">
        <fgColor rgb="FFCDD9D4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 style="medium">
        <color rgb="FFD9D9D9"/>
      </bottom>
      <diagonal/>
    </border>
    <border>
      <left style="medium">
        <color rgb="FF742932"/>
      </left>
      <right style="medium">
        <color rgb="FF742932"/>
      </right>
      <top style="medium">
        <color rgb="FFCCCCCC"/>
      </top>
      <bottom style="medium">
        <color rgb="FF742932"/>
      </bottom>
      <diagonal/>
    </border>
    <border>
      <left style="medium">
        <color rgb="FFCCCCCC"/>
      </left>
      <right style="medium">
        <color rgb="FF742932"/>
      </right>
      <top style="medium">
        <color rgb="FFCCCCCC"/>
      </top>
      <bottom style="medium">
        <color rgb="FF742932"/>
      </bottom>
      <diagonal/>
    </border>
    <border>
      <left/>
      <right style="medium">
        <color rgb="FFD9D9D9"/>
      </right>
      <top style="medium">
        <color rgb="FFCCCCCC"/>
      </top>
      <bottom style="medium">
        <color rgb="FFD9D9D9"/>
      </bottom>
      <diagonal/>
    </border>
    <border>
      <left style="medium">
        <color rgb="FFCCCCCC"/>
      </left>
      <right/>
      <top style="medium">
        <color rgb="FFCCCCCC"/>
      </top>
      <bottom style="medium">
        <color rgb="FFD9D9D9"/>
      </bottom>
      <diagonal/>
    </border>
    <border>
      <left/>
      <right style="medium">
        <color rgb="FF742932"/>
      </right>
      <top/>
      <bottom style="medium">
        <color rgb="FF742932"/>
      </bottom>
      <diagonal/>
    </border>
    <border>
      <left style="medium">
        <color rgb="FFCCCCCC"/>
      </left>
      <right style="medium">
        <color rgb="FF742932"/>
      </right>
      <top/>
      <bottom style="medium">
        <color rgb="FF742932"/>
      </bottom>
      <diagonal/>
    </border>
    <border>
      <left style="medium">
        <color rgb="FFCCCCCC"/>
      </left>
      <right/>
      <top/>
      <bottom style="medium">
        <color rgb="FF742932"/>
      </bottom>
      <diagonal/>
    </border>
    <border>
      <left style="medium">
        <color rgb="FFCCCCCC"/>
      </left>
      <right style="medium">
        <color rgb="FF284E3F"/>
      </right>
      <top style="medium">
        <color rgb="FFCCCCCC"/>
      </top>
      <bottom style="medium">
        <color rgb="FF284E3F"/>
      </bottom>
      <diagonal/>
    </border>
    <border>
      <left style="medium">
        <color rgb="FF284E3F"/>
      </left>
      <right style="medium">
        <color rgb="FF284E3F"/>
      </right>
      <top style="medium">
        <color rgb="FFCCCCCC"/>
      </top>
      <bottom style="medium">
        <color rgb="FF284E3F"/>
      </bottom>
      <diagonal/>
    </border>
    <border>
      <left/>
      <right style="medium">
        <color rgb="FF284E3F"/>
      </right>
      <top/>
      <bottom style="medium">
        <color rgb="FF284E3F"/>
      </bottom>
      <diagonal/>
    </border>
    <border>
      <left style="medium">
        <color rgb="FFCCCCCC"/>
      </left>
      <right style="medium">
        <color rgb="FF284E3F"/>
      </right>
      <top/>
      <bottom style="medium">
        <color rgb="FF284E3F"/>
      </bottom>
      <diagonal/>
    </border>
    <border>
      <left/>
      <right/>
      <top/>
      <bottom style="medium">
        <color rgb="FF742932"/>
      </bottom>
      <diagonal/>
    </border>
    <border>
      <left/>
      <right style="medium">
        <color rgb="FFD9D9D9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/>
      <top style="medium">
        <color rgb="FF742932"/>
      </top>
      <bottom/>
      <diagonal/>
    </border>
    <border>
      <left/>
      <right style="medium">
        <color rgb="FF742932"/>
      </right>
      <top style="medium">
        <color rgb="FF742932"/>
      </top>
      <bottom/>
      <diagonal/>
    </border>
    <border>
      <left style="medium">
        <color rgb="FFCCCCCC"/>
      </left>
      <right/>
      <top style="medium">
        <color rgb="FF742932"/>
      </top>
      <bottom/>
      <diagonal/>
    </border>
    <border>
      <left style="medium">
        <color rgb="FFCCCCCC"/>
      </left>
      <right style="medium">
        <color rgb="FFFFE599"/>
      </right>
      <top style="medium">
        <color rgb="FFBFAC73"/>
      </top>
      <bottom style="medium">
        <color rgb="FFBFAC73"/>
      </bottom>
      <diagonal/>
    </border>
    <border>
      <left style="medium">
        <color rgb="FFCCCCCC"/>
      </left>
      <right style="medium">
        <color rgb="FFFFE599"/>
      </right>
      <top style="medium">
        <color rgb="FF000000"/>
      </top>
      <bottom style="medium">
        <color rgb="FFBFAC73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rgb="FF000000"/>
      </left>
      <right style="medium">
        <color rgb="FFFFF2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BFAC73"/>
      </bottom>
      <diagonal/>
    </border>
    <border>
      <left/>
      <right style="medium">
        <color rgb="FFFFE599"/>
      </right>
      <top style="medium">
        <color rgb="FFBFAC73"/>
      </top>
      <bottom style="medium">
        <color rgb="FFBFAC73"/>
      </bottom>
      <diagonal/>
    </border>
    <border>
      <left/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/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/>
      <top style="medium">
        <color rgb="FFCCCCCC"/>
      </top>
      <bottom style="medium">
        <color rgb="FFF6F8F9"/>
      </bottom>
      <diagonal/>
    </border>
    <border>
      <left/>
      <right style="medium">
        <color rgb="FFF6F8F9"/>
      </right>
      <top style="medium">
        <color rgb="FFCCCCCC"/>
      </top>
      <bottom/>
      <diagonal/>
    </border>
    <border>
      <left style="medium">
        <color rgb="FFCCCCCC"/>
      </left>
      <right style="medium">
        <color rgb="FFF6F8F9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BFAC73"/>
      </bottom>
      <diagonal/>
    </border>
    <border>
      <left style="medium">
        <color rgb="FFCCCCCC"/>
      </left>
      <right/>
      <top style="medium">
        <color rgb="FFBFAC73"/>
      </top>
      <bottom style="medium">
        <color rgb="FFBFAC73"/>
      </bottom>
      <diagonal/>
    </border>
    <border>
      <left style="medium">
        <color indexed="64"/>
      </left>
      <right/>
      <top/>
      <bottom style="medium">
        <color rgb="FFBFAC73"/>
      </bottom>
      <diagonal/>
    </border>
    <border>
      <left/>
      <right style="medium">
        <color indexed="64"/>
      </right>
      <top/>
      <bottom style="medium">
        <color rgb="FFBFAC73"/>
      </bottom>
      <diagonal/>
    </border>
    <border>
      <left style="medium">
        <color indexed="64"/>
      </left>
      <right style="medium">
        <color rgb="FFFFE599"/>
      </right>
      <top style="medium">
        <color rgb="FF000000"/>
      </top>
      <bottom style="medium">
        <color rgb="FFBFAC73"/>
      </bottom>
      <diagonal/>
    </border>
    <border>
      <left style="medium">
        <color rgb="FFCCCCCC"/>
      </left>
      <right style="medium">
        <color indexed="64"/>
      </right>
      <top style="medium">
        <color rgb="FF000000"/>
      </top>
      <bottom style="medium">
        <color rgb="FFBFAC73"/>
      </bottom>
      <diagonal/>
    </border>
    <border>
      <left style="medium">
        <color indexed="64"/>
      </left>
      <right style="medium">
        <color rgb="FFFFFFFF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F6F8F9"/>
      </bottom>
      <diagonal/>
    </border>
    <border>
      <left style="medium">
        <color indexed="64"/>
      </left>
      <right style="medium">
        <color rgb="FFF6F8F9"/>
      </right>
      <top style="medium">
        <color rgb="FFCCCCCC"/>
      </top>
      <bottom style="medium">
        <color rgb="FFF6F8F9"/>
      </bottom>
      <diagonal/>
    </border>
    <border>
      <left style="medium">
        <color indexed="64"/>
      </left>
      <right style="medium">
        <color rgb="FFF6F8F9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F6F8F9"/>
      </right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F6F8F9"/>
      </bottom>
      <diagonal/>
    </border>
    <border>
      <left style="medium">
        <color indexed="64"/>
      </left>
      <right/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B6D7A8"/>
      </right>
      <top style="medium">
        <color rgb="FFCCCCCC"/>
      </top>
      <bottom style="medium">
        <color rgb="FF89A17E"/>
      </bottom>
      <diagonal/>
    </border>
    <border>
      <left style="medium">
        <color rgb="FF000000"/>
      </left>
      <right style="medium">
        <color rgb="FFD9EAD3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D9EAD3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89A17E"/>
      </bottom>
      <diagonal/>
    </border>
    <border>
      <left style="medium">
        <color rgb="FFCCCCCC"/>
      </left>
      <right/>
      <top style="medium">
        <color rgb="FFCCCCCC"/>
      </top>
      <bottom style="medium">
        <color rgb="FF89A17E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rgb="FFB6D7A8"/>
      </right>
      <top/>
      <bottom style="medium">
        <color rgb="FF89A17E"/>
      </bottom>
      <diagonal/>
    </border>
    <border>
      <left style="medium">
        <color rgb="FFCCCCCC"/>
      </left>
      <right style="medium">
        <color rgb="FFB6D7A8"/>
      </right>
      <top/>
      <bottom style="medium">
        <color rgb="FF89A17E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B6D7A8"/>
      </right>
      <top style="medium">
        <color rgb="FFCCCCCC"/>
      </top>
      <bottom style="medium">
        <color rgb="FF89A17E"/>
      </bottom>
      <diagonal/>
    </border>
    <border>
      <left style="medium">
        <color indexed="64"/>
      </left>
      <right style="medium">
        <color rgb="FFF6F8F9"/>
      </right>
      <top style="medium">
        <color rgb="FFCCCCCC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7794AE"/>
      </left>
      <right style="medium">
        <color rgb="FF7794AE"/>
      </right>
      <top style="medium">
        <color rgb="FF7794AE"/>
      </top>
      <bottom style="medium">
        <color rgb="FF7794AE"/>
      </bottom>
      <diagonal/>
    </border>
    <border>
      <left style="medium">
        <color rgb="FFCCCCCC"/>
      </left>
      <right style="medium">
        <color rgb="FF7794AE"/>
      </right>
      <top style="medium">
        <color rgb="FF7794AE"/>
      </top>
      <bottom style="medium">
        <color rgb="FF7794AE"/>
      </bottom>
      <diagonal/>
    </border>
    <border>
      <left style="medium">
        <color rgb="FFCCCCCC"/>
      </left>
      <right style="medium">
        <color rgb="FF7794AE"/>
      </right>
      <top style="medium">
        <color rgb="FF000000"/>
      </top>
      <bottom style="medium">
        <color rgb="FF7794AE"/>
      </bottom>
      <diagonal/>
    </border>
    <border>
      <left style="medium">
        <color rgb="FF7794AE"/>
      </left>
      <right style="medium">
        <color rgb="FFD9D9D9"/>
      </right>
      <top style="medium">
        <color rgb="FFCCCCCC"/>
      </top>
      <bottom style="medium">
        <color rgb="FFD9D9D9"/>
      </bottom>
      <diagonal/>
    </border>
    <border>
      <left style="medium">
        <color rgb="FFCCCCCC"/>
      </left>
      <right/>
      <top style="medium">
        <color rgb="FF7794AE"/>
      </top>
      <bottom style="medium">
        <color rgb="FF7794AE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7794AE"/>
      </right>
      <top style="medium">
        <color rgb="FF000000"/>
      </top>
      <bottom style="medium">
        <color rgb="FF7794AE"/>
      </bottom>
      <diagonal/>
    </border>
    <border>
      <left style="medium">
        <color rgb="FFCCCCCC"/>
      </left>
      <right style="medium">
        <color indexed="64"/>
      </right>
      <top style="medium">
        <color rgb="FF000000"/>
      </top>
      <bottom style="medium">
        <color rgb="FF7794AE"/>
      </bottom>
      <diagonal/>
    </border>
    <border>
      <left style="medium">
        <color indexed="64"/>
      </left>
      <right style="medium">
        <color rgb="FFD9D9D9"/>
      </right>
      <top style="medium">
        <color rgb="FFCCCCCC"/>
      </top>
      <bottom style="medium">
        <color rgb="FFD9D9D9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D9D9D9"/>
      </bottom>
      <diagonal/>
    </border>
    <border>
      <left/>
      <right style="medium">
        <color rgb="FF284E3F"/>
      </right>
      <top style="medium">
        <color rgb="FFCCCCCC"/>
      </top>
      <bottom style="medium">
        <color rgb="FF284E3F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indexed="64"/>
      </top>
      <bottom/>
      <diagonal/>
    </border>
    <border>
      <left style="medium">
        <color rgb="FFCCCCCC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89A17E"/>
      </bottom>
      <diagonal/>
    </border>
    <border>
      <left/>
      <right/>
      <top/>
      <bottom style="medium">
        <color rgb="FF89A17E"/>
      </bottom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89A17E"/>
      </bottom>
      <diagonal/>
    </border>
    <border>
      <left style="medium">
        <color rgb="FFD9D9D9"/>
      </left>
      <right style="medium">
        <color rgb="FFCCCCCC"/>
      </right>
      <top style="medium">
        <color rgb="FFCCCCCC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CCCCCC"/>
      </top>
      <bottom style="medium">
        <color rgb="FFD9D9D9"/>
      </bottom>
      <diagonal/>
    </border>
    <border>
      <left/>
      <right style="medium">
        <color rgb="FFCCCCCC"/>
      </right>
      <top style="medium">
        <color rgb="FFCCCCCC"/>
      </top>
      <bottom style="medium">
        <color rgb="FFF6F8F9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F6F8F9"/>
      </bottom>
      <diagonal/>
    </border>
    <border>
      <left style="medium">
        <color rgb="FF000000"/>
      </left>
      <right style="medium">
        <color rgb="FFD9D9D9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D9D9D9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 style="medium">
        <color rgb="FF7794AE"/>
      </left>
      <right style="medium">
        <color rgb="FFD9D9D9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rgb="FFD9D9D9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5" fillId="9" borderId="27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0" fontId="2" fillId="3" borderId="33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6" fillId="8" borderId="24" xfId="0" applyNumberFormat="1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49" fontId="6" fillId="8" borderId="40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wrapText="1"/>
    </xf>
    <xf numFmtId="0" fontId="5" fillId="11" borderId="52" xfId="0" applyFont="1" applyFill="1" applyBorder="1" applyAlignment="1">
      <alignment vertical="center" wrapText="1"/>
    </xf>
    <xf numFmtId="0" fontId="6" fillId="10" borderId="63" xfId="0" applyFont="1" applyFill="1" applyBorder="1" applyAlignment="1">
      <alignment horizontal="center" vertical="center" wrapText="1"/>
    </xf>
    <xf numFmtId="0" fontId="6" fillId="10" borderId="51" xfId="0" applyFont="1" applyFill="1" applyBorder="1" applyAlignment="1">
      <alignment horizontal="center" vertical="center" wrapText="1"/>
    </xf>
    <xf numFmtId="0" fontId="6" fillId="10" borderId="55" xfId="0" applyFont="1" applyFill="1" applyBorder="1" applyAlignment="1">
      <alignment horizontal="center" vertical="center" wrapText="1"/>
    </xf>
    <xf numFmtId="49" fontId="6" fillId="10" borderId="58" xfId="0" applyNumberFormat="1" applyFont="1" applyFill="1" applyBorder="1" applyAlignment="1">
      <alignment horizontal="center" vertical="center" wrapText="1"/>
    </xf>
    <xf numFmtId="49" fontId="6" fillId="10" borderId="59" xfId="0" applyNumberFormat="1" applyFont="1" applyFill="1" applyBorder="1" applyAlignment="1">
      <alignment horizontal="center" vertical="center" wrapText="1"/>
    </xf>
    <xf numFmtId="49" fontId="6" fillId="10" borderId="54" xfId="0" applyNumberFormat="1" applyFont="1" applyFill="1" applyBorder="1" applyAlignment="1">
      <alignment horizontal="center" vertical="center" wrapText="1"/>
    </xf>
    <xf numFmtId="0" fontId="7" fillId="12" borderId="66" xfId="0" applyFont="1" applyFill="1" applyBorder="1" applyAlignment="1">
      <alignment horizontal="center" vertical="center" wrapText="1"/>
    </xf>
    <xf numFmtId="0" fontId="7" fillId="12" borderId="67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wrapText="1"/>
    </xf>
    <xf numFmtId="0" fontId="7" fillId="12" borderId="70" xfId="0" applyFont="1" applyFill="1" applyBorder="1" applyAlignment="1">
      <alignment horizontal="center" vertical="center" wrapText="1"/>
    </xf>
    <xf numFmtId="49" fontId="7" fillId="12" borderId="72" xfId="0" applyNumberFormat="1" applyFont="1" applyFill="1" applyBorder="1" applyAlignment="1">
      <alignment horizontal="center" vertical="center" wrapText="1"/>
    </xf>
    <xf numFmtId="49" fontId="7" fillId="12" borderId="68" xfId="0" applyNumberFormat="1" applyFont="1" applyFill="1" applyBorder="1" applyAlignment="1">
      <alignment horizontal="center" vertical="center" wrapText="1"/>
    </xf>
    <xf numFmtId="49" fontId="7" fillId="12" borderId="73" xfId="0" applyNumberFormat="1" applyFont="1" applyFill="1" applyBorder="1" applyAlignment="1">
      <alignment horizontal="center" vertical="center" wrapText="1"/>
    </xf>
    <xf numFmtId="0" fontId="5" fillId="7" borderId="76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wrapText="1"/>
    </xf>
    <xf numFmtId="4" fontId="5" fillId="9" borderId="28" xfId="0" applyNumberFormat="1" applyFont="1" applyFill="1" applyBorder="1" applyAlignment="1">
      <alignment horizontal="center" vertical="center" wrapText="1"/>
    </xf>
    <xf numFmtId="164" fontId="5" fillId="9" borderId="28" xfId="0" applyNumberFormat="1" applyFont="1" applyFill="1" applyBorder="1" applyAlignment="1">
      <alignment horizontal="center" vertical="center" wrapText="1"/>
    </xf>
    <xf numFmtId="165" fontId="2" fillId="2" borderId="25" xfId="0" applyNumberFormat="1" applyFont="1" applyFill="1" applyBorder="1" applyAlignment="1">
      <alignment horizontal="center" wrapText="1"/>
    </xf>
    <xf numFmtId="165" fontId="2" fillId="3" borderId="26" xfId="0" applyNumberFormat="1" applyFont="1" applyFill="1" applyBorder="1" applyAlignment="1">
      <alignment horizontal="center" wrapText="1"/>
    </xf>
    <xf numFmtId="165" fontId="2" fillId="3" borderId="33" xfId="0" applyNumberFormat="1" applyFont="1" applyFill="1" applyBorder="1" applyAlignment="1">
      <alignment horizontal="center" wrapText="1"/>
    </xf>
    <xf numFmtId="165" fontId="2" fillId="3" borderId="35" xfId="0" applyNumberFormat="1" applyFont="1" applyFill="1" applyBorder="1" applyAlignment="1">
      <alignment horizontal="center" wrapText="1"/>
    </xf>
    <xf numFmtId="164" fontId="2" fillId="2" borderId="74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75" xfId="0" applyNumberFormat="1" applyFont="1" applyFill="1" applyBorder="1" applyAlignment="1">
      <alignment horizontal="center" wrapText="1"/>
    </xf>
    <xf numFmtId="0" fontId="6" fillId="14" borderId="84" xfId="0" applyFont="1" applyFill="1" applyBorder="1" applyAlignment="1">
      <alignment horizontal="center" vertical="center" wrapText="1"/>
    </xf>
    <xf numFmtId="0" fontId="5" fillId="15" borderId="86" xfId="0" applyFont="1" applyFill="1" applyBorder="1" applyAlignment="1">
      <alignment vertical="center" wrapText="1"/>
    </xf>
    <xf numFmtId="0" fontId="2" fillId="15" borderId="79" xfId="0" applyFont="1" applyFill="1" applyBorder="1" applyAlignment="1">
      <alignment vertical="center" wrapText="1"/>
    </xf>
    <xf numFmtId="0" fontId="2" fillId="15" borderId="87" xfId="0" applyFont="1" applyFill="1" applyBorder="1" applyAlignment="1">
      <alignment vertical="center" wrapText="1"/>
    </xf>
    <xf numFmtId="0" fontId="6" fillId="16" borderId="84" xfId="0" applyFont="1" applyFill="1" applyBorder="1" applyAlignment="1">
      <alignment horizontal="center" vertical="center" wrapText="1"/>
    </xf>
    <xf numFmtId="0" fontId="6" fillId="16" borderId="85" xfId="0" applyFont="1" applyFill="1" applyBorder="1" applyAlignment="1">
      <alignment horizontal="center" vertical="center" wrapText="1"/>
    </xf>
    <xf numFmtId="0" fontId="5" fillId="17" borderId="86" xfId="0" applyFont="1" applyFill="1" applyBorder="1" applyAlignment="1">
      <alignment vertical="center" wrapText="1"/>
    </xf>
    <xf numFmtId="0" fontId="2" fillId="17" borderId="79" xfId="0" applyFont="1" applyFill="1" applyBorder="1" applyAlignment="1">
      <alignment vertical="center" wrapText="1"/>
    </xf>
    <xf numFmtId="0" fontId="2" fillId="17" borderId="87" xfId="0" applyFont="1" applyFill="1" applyBorder="1" applyAlignment="1">
      <alignment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2" fillId="0" borderId="88" xfId="0" applyFont="1" applyBorder="1"/>
    <xf numFmtId="3" fontId="2" fillId="0" borderId="88" xfId="0" applyNumberFormat="1" applyFont="1" applyBorder="1"/>
    <xf numFmtId="0" fontId="6" fillId="14" borderId="89" xfId="0" applyFont="1" applyFill="1" applyBorder="1" applyAlignment="1">
      <alignment horizontal="center" vertical="center" wrapText="1"/>
    </xf>
    <xf numFmtId="3" fontId="4" fillId="2" borderId="90" xfId="0" applyNumberFormat="1" applyFont="1" applyFill="1" applyBorder="1" applyAlignment="1">
      <alignment horizontal="center" vertical="center" wrapText="1"/>
    </xf>
    <xf numFmtId="3" fontId="4" fillId="2" borderId="91" xfId="0" applyNumberFormat="1" applyFont="1" applyFill="1" applyBorder="1" applyAlignment="1">
      <alignment horizontal="center" vertical="center" wrapText="1"/>
    </xf>
    <xf numFmtId="0" fontId="2" fillId="2" borderId="93" xfId="0" applyFont="1" applyFill="1" applyBorder="1" applyAlignment="1">
      <alignment horizontal="center" wrapText="1"/>
    </xf>
    <xf numFmtId="165" fontId="2" fillId="2" borderId="93" xfId="0" applyNumberFormat="1" applyFont="1" applyFill="1" applyBorder="1" applyAlignment="1">
      <alignment horizontal="center" wrapText="1"/>
    </xf>
    <xf numFmtId="164" fontId="2" fillId="2" borderId="25" xfId="0" applyNumberFormat="1" applyFont="1" applyFill="1" applyBorder="1" applyAlignment="1">
      <alignment horizontal="center" wrapText="1"/>
    </xf>
    <xf numFmtId="164" fontId="2" fillId="2" borderId="33" xfId="0" applyNumberFormat="1" applyFont="1" applyFill="1" applyBorder="1" applyAlignment="1">
      <alignment horizontal="center" wrapText="1"/>
    </xf>
    <xf numFmtId="164" fontId="2" fillId="3" borderId="93" xfId="0" applyNumberFormat="1" applyFont="1" applyFill="1" applyBorder="1" applyAlignment="1">
      <alignment horizontal="center" wrapText="1"/>
    </xf>
    <xf numFmtId="164" fontId="2" fillId="3" borderId="49" xfId="0" applyNumberFormat="1" applyFont="1" applyFill="1" applyBorder="1" applyAlignment="1">
      <alignment horizontal="center" wrapText="1"/>
    </xf>
    <xf numFmtId="164" fontId="2" fillId="3" borderId="26" xfId="0" applyNumberFormat="1" applyFont="1" applyFill="1" applyBorder="1" applyAlignment="1">
      <alignment horizontal="center" wrapText="1"/>
    </xf>
    <xf numFmtId="164" fontId="2" fillId="3" borderId="33" xfId="0" applyNumberFormat="1" applyFont="1" applyFill="1" applyBorder="1" applyAlignment="1">
      <alignment horizontal="center" wrapText="1"/>
    </xf>
    <xf numFmtId="164" fontId="2" fillId="3" borderId="35" xfId="0" applyNumberFormat="1" applyFont="1" applyFill="1" applyBorder="1" applyAlignment="1">
      <alignment horizontal="center" wrapText="1"/>
    </xf>
    <xf numFmtId="164" fontId="2" fillId="3" borderId="15" xfId="0" applyNumberFormat="1" applyFont="1" applyFill="1" applyBorder="1" applyAlignment="1">
      <alignment horizontal="center" wrapText="1"/>
    </xf>
    <xf numFmtId="164" fontId="2" fillId="2" borderId="42" xfId="0" applyNumberFormat="1" applyFont="1" applyFill="1" applyBorder="1" applyAlignment="1">
      <alignment horizontal="center" wrapText="1"/>
    </xf>
    <xf numFmtId="164" fontId="2" fillId="2" borderId="43" xfId="0" applyNumberFormat="1" applyFont="1" applyFill="1" applyBorder="1" applyAlignment="1">
      <alignment horizontal="center" wrapText="1"/>
    </xf>
    <xf numFmtId="164" fontId="2" fillId="2" borderId="50" xfId="0" applyNumberFormat="1" applyFont="1" applyFill="1" applyBorder="1" applyAlignment="1">
      <alignment horizontal="center" wrapText="1"/>
    </xf>
    <xf numFmtId="164" fontId="2" fillId="3" borderId="44" xfId="0" applyNumberFormat="1" applyFont="1" applyFill="1" applyBorder="1" applyAlignment="1">
      <alignment horizontal="center" wrapText="1"/>
    </xf>
    <xf numFmtId="164" fontId="2" fillId="3" borderId="43" xfId="0" applyNumberFormat="1" applyFont="1" applyFill="1" applyBorder="1" applyAlignment="1">
      <alignment horizontal="center" wrapText="1"/>
    </xf>
    <xf numFmtId="164" fontId="2" fillId="3" borderId="50" xfId="0" applyNumberFormat="1" applyFont="1" applyFill="1" applyBorder="1" applyAlignment="1">
      <alignment horizontal="center" wrapText="1"/>
    </xf>
    <xf numFmtId="164" fontId="2" fillId="3" borderId="45" xfId="0" applyNumberFormat="1" applyFont="1" applyFill="1" applyBorder="1" applyAlignment="1">
      <alignment horizontal="center" wrapText="1"/>
    </xf>
    <xf numFmtId="164" fontId="2" fillId="3" borderId="46" xfId="0" applyNumberFormat="1" applyFont="1" applyFill="1" applyBorder="1" applyAlignment="1">
      <alignment horizontal="center" wrapText="1"/>
    </xf>
    <xf numFmtId="164" fontId="2" fillId="3" borderId="19" xfId="0" applyNumberFormat="1" applyFont="1" applyFill="1" applyBorder="1" applyAlignment="1">
      <alignment horizontal="center" wrapText="1"/>
    </xf>
    <xf numFmtId="164" fontId="5" fillId="9" borderId="56" xfId="0" applyNumberFormat="1" applyFont="1" applyFill="1" applyBorder="1" applyAlignment="1">
      <alignment horizontal="center" vertical="center" wrapText="1"/>
    </xf>
    <xf numFmtId="164" fontId="5" fillId="9" borderId="57" xfId="0" applyNumberFormat="1" applyFont="1" applyFill="1" applyBorder="1" applyAlignment="1">
      <alignment horizontal="center" vertical="center" wrapText="1"/>
    </xf>
    <xf numFmtId="164" fontId="5" fillId="9" borderId="19" xfId="0" applyNumberFormat="1" applyFont="1" applyFill="1" applyBorder="1" applyAlignment="1">
      <alignment horizontal="center" vertical="center" wrapText="1"/>
    </xf>
    <xf numFmtId="164" fontId="2" fillId="3" borderId="35" xfId="0" applyNumberFormat="1" applyFont="1" applyFill="1" applyBorder="1" applyAlignment="1">
      <alignment wrapText="1"/>
    </xf>
    <xf numFmtId="164" fontId="2" fillId="3" borderId="64" xfId="0" applyNumberFormat="1" applyFont="1" applyFill="1" applyBorder="1" applyAlignment="1">
      <alignment horizontal="center" wrapText="1"/>
    </xf>
    <xf numFmtId="164" fontId="2" fillId="11" borderId="53" xfId="0" applyNumberFormat="1" applyFont="1" applyFill="1" applyBorder="1" applyAlignment="1">
      <alignment vertical="center" wrapText="1"/>
    </xf>
    <xf numFmtId="164" fontId="2" fillId="11" borderId="48" xfId="0" applyNumberFormat="1" applyFont="1" applyFill="1" applyBorder="1" applyAlignment="1">
      <alignment vertical="center" wrapText="1"/>
    </xf>
    <xf numFmtId="164" fontId="5" fillId="11" borderId="56" xfId="0" applyNumberFormat="1" applyFont="1" applyFill="1" applyBorder="1" applyAlignment="1">
      <alignment horizontal="center" vertical="center" wrapText="1"/>
    </xf>
    <xf numFmtId="164" fontId="5" fillId="11" borderId="28" xfId="0" applyNumberFormat="1" applyFont="1" applyFill="1" applyBorder="1" applyAlignment="1">
      <alignment horizontal="center" vertical="center" wrapText="1"/>
    </xf>
    <xf numFmtId="164" fontId="5" fillId="11" borderId="48" xfId="0" applyNumberFormat="1" applyFont="1" applyFill="1" applyBorder="1" applyAlignment="1">
      <alignment horizontal="center" vertical="center" wrapText="1"/>
    </xf>
    <xf numFmtId="164" fontId="5" fillId="11" borderId="79" xfId="0" applyNumberFormat="1" applyFont="1" applyFill="1" applyBorder="1" applyAlignment="1">
      <alignment horizontal="center" vertical="center" wrapText="1"/>
    </xf>
    <xf numFmtId="3" fontId="2" fillId="2" borderId="25" xfId="0" applyNumberFormat="1" applyFont="1" applyFill="1" applyBorder="1" applyAlignment="1">
      <alignment horizontal="center" wrapText="1"/>
    </xf>
    <xf numFmtId="3" fontId="2" fillId="3" borderId="26" xfId="0" applyNumberFormat="1" applyFont="1" applyFill="1" applyBorder="1" applyAlignment="1">
      <alignment horizontal="center" wrapText="1"/>
    </xf>
    <xf numFmtId="3" fontId="2" fillId="3" borderId="33" xfId="0" applyNumberFormat="1" applyFont="1" applyFill="1" applyBorder="1" applyAlignment="1">
      <alignment horizontal="center" wrapText="1"/>
    </xf>
    <xf numFmtId="3" fontId="2" fillId="3" borderId="35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7" fillId="13" borderId="94" xfId="0" applyFont="1" applyFill="1" applyBorder="1" applyAlignment="1">
      <alignment vertical="center" wrapText="1"/>
    </xf>
    <xf numFmtId="164" fontId="2" fillId="13" borderId="95" xfId="0" applyNumberFormat="1" applyFont="1" applyFill="1" applyBorder="1" applyAlignment="1">
      <alignment vertical="center" wrapText="1"/>
    </xf>
    <xf numFmtId="164" fontId="7" fillId="13" borderId="96" xfId="0" applyNumberFormat="1" applyFont="1" applyFill="1" applyBorder="1" applyAlignment="1">
      <alignment horizontal="center" vertical="center" wrapText="1"/>
    </xf>
    <xf numFmtId="164" fontId="7" fillId="13" borderId="97" xfId="0" applyNumberFormat="1" applyFont="1" applyFill="1" applyBorder="1" applyAlignment="1">
      <alignment horizontal="center" vertical="center" wrapText="1"/>
    </xf>
    <xf numFmtId="164" fontId="7" fillId="13" borderId="98" xfId="0" applyNumberFormat="1" applyFont="1" applyFill="1" applyBorder="1" applyAlignment="1">
      <alignment horizontal="center" vertical="center" wrapText="1"/>
    </xf>
    <xf numFmtId="164" fontId="7" fillId="13" borderId="99" xfId="0" applyNumberFormat="1" applyFont="1" applyFill="1" applyBorder="1" applyAlignment="1">
      <alignment horizontal="center" vertical="center" wrapText="1"/>
    </xf>
    <xf numFmtId="164" fontId="7" fillId="13" borderId="100" xfId="0" applyNumberFormat="1" applyFont="1" applyFill="1" applyBorder="1" applyAlignment="1">
      <alignment horizontal="center" vertical="center" wrapText="1"/>
    </xf>
    <xf numFmtId="0" fontId="2" fillId="3" borderId="101" xfId="0" applyFont="1" applyFill="1" applyBorder="1" applyAlignment="1">
      <alignment horizontal="center" wrapText="1"/>
    </xf>
    <xf numFmtId="3" fontId="2" fillId="3" borderId="102" xfId="0" applyNumberFormat="1" applyFont="1" applyFill="1" applyBorder="1" applyAlignment="1">
      <alignment horizontal="center" wrapText="1"/>
    </xf>
    <xf numFmtId="164" fontId="2" fillId="3" borderId="102" xfId="0" applyNumberFormat="1" applyFont="1" applyFill="1" applyBorder="1" applyAlignment="1">
      <alignment horizontal="center" wrapText="1"/>
    </xf>
    <xf numFmtId="164" fontId="2" fillId="3" borderId="103" xfId="0" applyNumberFormat="1" applyFont="1" applyFill="1" applyBorder="1" applyAlignment="1">
      <alignment horizontal="center" wrapText="1"/>
    </xf>
    <xf numFmtId="164" fontId="2" fillId="3" borderId="104" xfId="0" applyNumberFormat="1" applyFont="1" applyFill="1" applyBorder="1" applyAlignment="1">
      <alignment horizontal="center" wrapText="1"/>
    </xf>
    <xf numFmtId="164" fontId="7" fillId="13" borderId="106" xfId="0" applyNumberFormat="1" applyFont="1" applyFill="1" applyBorder="1" applyAlignment="1">
      <alignment horizontal="center" vertical="center" wrapText="1"/>
    </xf>
    <xf numFmtId="164" fontId="2" fillId="13" borderId="105" xfId="0" applyNumberFormat="1" applyFont="1" applyFill="1" applyBorder="1" applyAlignment="1">
      <alignment vertical="center" wrapText="1"/>
    </xf>
    <xf numFmtId="0" fontId="7" fillId="14" borderId="80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81" xfId="0" applyFont="1" applyFill="1" applyBorder="1" applyAlignment="1">
      <alignment horizontal="center" vertical="center" wrapText="1"/>
    </xf>
    <xf numFmtId="0" fontId="7" fillId="14" borderId="82" xfId="0" applyFont="1" applyFill="1" applyBorder="1" applyAlignment="1">
      <alignment horizontal="center" vertical="center" wrapText="1"/>
    </xf>
    <xf numFmtId="0" fontId="7" fillId="14" borderId="8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77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78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60" xfId="0" applyFont="1" applyFill="1" applyBorder="1" applyAlignment="1">
      <alignment horizontal="center" vertical="center" wrapText="1"/>
    </xf>
    <xf numFmtId="0" fontId="7" fillId="10" borderId="61" xfId="0" applyFont="1" applyFill="1" applyBorder="1" applyAlignment="1">
      <alignment horizontal="center" vertical="center" wrapText="1"/>
    </xf>
    <xf numFmtId="0" fontId="7" fillId="10" borderId="62" xfId="0" applyFont="1" applyFill="1" applyBorder="1" applyAlignment="1">
      <alignment horizontal="center" vertical="center" wrapText="1"/>
    </xf>
    <xf numFmtId="0" fontId="7" fillId="10" borderId="77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10" borderId="78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7" fillId="12" borderId="71" xfId="0" applyFont="1" applyFill="1" applyBorder="1" applyAlignment="1">
      <alignment horizontal="center" vertical="center" wrapText="1"/>
    </xf>
    <xf numFmtId="0" fontId="7" fillId="12" borderId="47" xfId="0" applyFont="1" applyFill="1" applyBorder="1" applyAlignment="1">
      <alignment horizontal="center" vertical="center" wrapText="1"/>
    </xf>
    <xf numFmtId="0" fontId="7" fillId="12" borderId="65" xfId="0" applyFont="1" applyFill="1" applyBorder="1" applyAlignment="1">
      <alignment horizontal="center" vertical="center" wrapText="1"/>
    </xf>
    <xf numFmtId="0" fontId="7" fillId="12" borderId="77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78" xfId="0" applyFont="1" applyFill="1" applyBorder="1" applyAlignment="1">
      <alignment horizontal="center" vertical="center" wrapText="1"/>
    </xf>
    <xf numFmtId="0" fontId="7" fillId="16" borderId="80" xfId="0" applyFont="1" applyFill="1" applyBorder="1" applyAlignment="1">
      <alignment horizontal="center" vertical="center" wrapText="1"/>
    </xf>
    <xf numFmtId="0" fontId="7" fillId="16" borderId="17" xfId="0" applyFont="1" applyFill="1" applyBorder="1" applyAlignment="1">
      <alignment horizontal="center" vertical="center" wrapText="1"/>
    </xf>
    <xf numFmtId="0" fontId="7" fillId="16" borderId="81" xfId="0" applyFont="1" applyFill="1" applyBorder="1" applyAlignment="1">
      <alignment horizontal="center" vertical="center" wrapText="1"/>
    </xf>
    <xf numFmtId="0" fontId="7" fillId="16" borderId="82" xfId="0" applyFont="1" applyFill="1" applyBorder="1" applyAlignment="1">
      <alignment horizontal="center" vertical="center" wrapText="1"/>
    </xf>
    <xf numFmtId="0" fontId="2" fillId="18" borderId="31" xfId="0" applyFont="1" applyFill="1" applyBorder="1" applyAlignment="1">
      <alignment horizontal="center" wrapText="1"/>
    </xf>
    <xf numFmtId="0" fontId="2" fillId="18" borderId="92" xfId="0" applyFont="1" applyFill="1" applyBorder="1" applyAlignment="1">
      <alignment horizontal="center" wrapText="1"/>
    </xf>
    <xf numFmtId="0" fontId="2" fillId="18" borderId="32" xfId="0" applyFont="1" applyFill="1" applyBorder="1" applyAlignment="1">
      <alignment horizontal="center" wrapText="1"/>
    </xf>
    <xf numFmtId="0" fontId="2" fillId="18" borderId="49" xfId="0" applyFont="1" applyFill="1" applyBorder="1" applyAlignment="1">
      <alignment horizontal="center" wrapText="1"/>
    </xf>
  </cellXfs>
  <cellStyles count="1">
    <cellStyle name="Normal" xfId="0" builtinId="0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border outline="0">
        <top style="medium">
          <color rgb="FFCCCCCC"/>
        </top>
      </border>
    </dxf>
    <dxf>
      <border outline="0">
        <left style="medium">
          <color rgb="FF89A17E"/>
        </left>
        <right style="medium">
          <color rgb="FF000000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fill>
        <patternFill patternType="solid">
          <fgColor rgb="FF000000"/>
          <bgColor rgb="FFF6F8F9"/>
        </patternFill>
      </fill>
      <alignment horizontal="general" vertical="bottom" textRotation="0" wrapText="1" indent="0" justifyLastLine="0" shrinkToFit="0" readingOrder="0"/>
    </dxf>
    <dxf>
      <border outline="0">
        <bottom style="medium">
          <color rgb="FF89A17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numFmt numFmtId="21" formatCode="d\-mmm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/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/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3" formatCode="#,##0"/>
      <fill>
        <patternFill patternType="solid">
          <fgColor indexed="64"/>
          <bgColor rgb="FFF6F8F9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F6F8F9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solid">
          <fgColor indexed="64"/>
          <bgColor rgb="FFF6F8F9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CCCCC"/>
        </right>
        <top style="medium">
          <color rgb="FFCCCCCC"/>
        </top>
        <bottom style="medium">
          <color rgb="FFF6F8F9"/>
        </bottom>
      </border>
    </dxf>
    <dxf>
      <border outline="0">
        <top style="medium">
          <color rgb="FFCCCCCC"/>
        </top>
      </border>
    </dxf>
    <dxf>
      <border outline="0">
        <left style="medium">
          <color rgb="FF89A17E"/>
        </left>
        <right style="medium">
          <color indexed="64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solid">
          <fgColor indexed="64"/>
          <bgColor rgb="FFF6F8F9"/>
        </patternFill>
      </fill>
      <alignment horizontal="general" vertical="bottom" textRotation="0" wrapText="1" indent="0" justifyLastLine="0" shrinkToFit="0" readingOrder="0"/>
    </dxf>
    <dxf>
      <border outline="0">
        <bottom style="medium">
          <color rgb="FF89A17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numFmt numFmtId="21" formatCode="d\-mmm"/>
      <fill>
        <patternFill patternType="solid">
          <fgColor indexed="64"/>
          <bgColor rgb="FFB6D7A8"/>
        </patternFill>
      </fill>
      <alignment horizontal="center" vertical="center" textRotation="0" wrapText="1" indent="0" justifyLastLine="0" shrinkToFit="0" readingOrder="0"/>
    </dxf>
    <dxf>
      <numFmt numFmtId="164" formatCode="#,##0.0"/>
      <alignment horizontal="center" textRotation="0" wrapText="1" indent="0" justifyLastLine="0" shrinkToFit="0" readingOrder="0"/>
    </dxf>
    <dxf>
      <numFmt numFmtId="164" formatCode="#,##0.0"/>
      <alignment horizontal="center" textRotation="0" wrapText="1" indent="0" justifyLastLine="0" shrinkToFit="0" readingOrder="0"/>
    </dxf>
    <dxf>
      <numFmt numFmtId="164" formatCode="#,##0.0"/>
      <alignment horizontal="center" textRotation="0" wrapText="1" indent="0" justifyLastLine="0" shrinkToFit="0" readingOrder="0"/>
    </dxf>
    <dxf>
      <numFmt numFmtId="164" formatCode="#,##0.0"/>
      <alignment horizontal="center" textRotation="0" wrapText="1" indent="0" justifyLastLine="0" shrinkToFit="0" readingOrder="0"/>
    </dxf>
    <dxf>
      <numFmt numFmtId="164" formatCode="#,##0.0"/>
      <alignment horizontal="center" textRotation="0" wrapText="1" indent="0" justifyLastLine="0" shrinkToFit="0" readingOrder="0"/>
    </dxf>
    <dxf>
      <numFmt numFmtId="164" formatCode="#,##0.0"/>
      <alignment horizontal="center" textRotation="0" wrapText="1" indent="0" justifyLastLine="0" shrinkToFit="0" readingOrder="0"/>
    </dxf>
    <dxf>
      <numFmt numFmtId="164" formatCode="#,##0.0"/>
      <alignment horizontal="center" textRotation="0" wrapText="1" indent="0" justifyLastLine="0" shrinkToFit="0" readingOrder="0"/>
    </dxf>
    <dxf>
      <numFmt numFmtId="164" formatCode="#,##0.0"/>
      <alignment horizontal="center" textRotation="0" wrapText="1" indent="0" justifyLastLine="0" shrinkToFit="0" readingOrder="0"/>
      <border diagonalUp="0" diagonalDown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F6F8F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4" formatCode="#,##0.0"/>
      <fill>
        <patternFill patternType="solid">
          <fgColor indexed="64"/>
          <bgColor rgb="FFF6F8F9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F6F8F9"/>
        </bottom>
      </border>
    </dxf>
    <dxf>
      <numFmt numFmtId="165" formatCode="0.0"/>
      <alignment horizont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textRotation="0" wrapText="1" indent="0" justifyLastLine="0" shrinkToFit="0" readingOrder="0"/>
      <border outline="0">
        <right style="medium">
          <color rgb="FFCCCCCC"/>
        </right>
      </border>
    </dxf>
    <dxf>
      <border outline="0">
        <right style="medium">
          <color rgb="FFCCCCCC"/>
        </right>
      </border>
    </dxf>
    <dxf>
      <border outline="0">
        <top style="medium">
          <color rgb="FFCCCCCC"/>
        </top>
      </border>
    </dxf>
    <dxf>
      <border outline="0">
        <left style="medium">
          <color rgb="FFBFAC73"/>
        </left>
        <right style="medium">
          <color rgb="FFBFAC73"/>
        </right>
        <bottom style="medium">
          <color rgb="FF000000"/>
        </bottom>
      </border>
    </dxf>
    <dxf>
      <border outline="0">
        <bottom style="medium">
          <color rgb="FFBFAC7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numFmt numFmtId="21" formatCode="d\-mmm"/>
      <fill>
        <patternFill patternType="solid">
          <fgColor indexed="64"/>
          <bgColor rgb="FFFFE59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9D9D9"/>
        </left>
        <right style="medium">
          <color rgb="FFD9D9D9"/>
        </right>
        <top style="medium">
          <color rgb="FFCCCCCC"/>
        </top>
        <bottom style="medium">
          <color rgb="FFD9D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9D9D9"/>
        </left>
        <right style="medium">
          <color rgb="FFCCCCCC"/>
        </right>
        <top style="medium">
          <color rgb="FFCCCCCC"/>
        </top>
        <bottom style="medium">
          <color rgb="FFD9D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9D9D9"/>
        </left>
        <right style="medium">
          <color rgb="FFCCCCCC"/>
        </right>
        <top style="medium">
          <color rgb="FFCCCCCC"/>
        </top>
        <bottom style="medium">
          <color rgb="FFD9D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9D9D9"/>
        </left>
        <right style="medium">
          <color rgb="FFCCCCCC"/>
        </right>
        <top style="medium">
          <color rgb="FFCCCCCC"/>
        </top>
        <bottom style="medium">
          <color rgb="FFD9D9D9"/>
        </bottom>
      </border>
    </dxf>
    <dxf>
      <font>
        <strike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9D9D9"/>
        </left>
        <right style="medium">
          <color rgb="FFCCCCCC"/>
        </right>
        <top style="medium">
          <color rgb="FFCCCCCC"/>
        </top>
        <bottom style="medium">
          <color rgb="FFD9D9D9"/>
        </bottom>
      </border>
    </dxf>
    <dxf>
      <font>
        <strike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9D9D9"/>
        </left>
        <right style="medium">
          <color rgb="FFCCCCCC"/>
        </right>
        <top style="medium">
          <color rgb="FFCCCCCC"/>
        </top>
        <bottom style="medium">
          <color rgb="FFD9D9D9"/>
        </bottom>
      </border>
    </dxf>
    <dxf>
      <font>
        <strike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D9D9D9"/>
        </left>
        <right style="medium">
          <color rgb="FFCCCCCC"/>
        </right>
        <top style="medium">
          <color rgb="FFCCCCCC"/>
        </top>
        <bottom style="medium">
          <color rgb="FFD9D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D9D9D9"/>
        </right>
        <top style="medium">
          <color rgb="FFCCCCCC"/>
        </top>
        <bottom style="medium">
          <color rgb="FFD9D9D9"/>
        </bottom>
      </border>
    </dxf>
    <dxf>
      <font>
        <strike val="0"/>
        <outline val="0"/>
        <shadow val="0"/>
        <u val="none"/>
        <vertAlign val="baseline"/>
        <sz val="12"/>
        <name val="Tahoma"/>
        <family val="2"/>
        <scheme val="none"/>
      </font>
    </dxf>
    <dxf>
      <border outline="0">
        <top style="medium">
          <color rgb="FFCCCCCC"/>
        </top>
      </border>
    </dxf>
    <dxf>
      <border outline="0">
        <left style="medium">
          <color rgb="FF284E3F"/>
        </left>
        <right style="medium">
          <color rgb="FF284E3F"/>
        </right>
        <top style="medium">
          <color rgb="FF284E3F"/>
        </top>
        <bottom style="medium">
          <color rgb="FF284E3F"/>
        </bottom>
      </border>
    </dxf>
    <dxf>
      <font>
        <strike val="0"/>
        <outline val="0"/>
        <shadow val="0"/>
        <u val="none"/>
        <vertAlign val="baseline"/>
        <sz val="12"/>
        <name val="Tahoma"/>
        <family val="2"/>
        <scheme val="none"/>
      </font>
    </dxf>
    <dxf>
      <border outline="0">
        <bottom style="medium">
          <color rgb="FF284E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Tahoma"/>
        <family val="2"/>
        <scheme val="none"/>
      </font>
      <fill>
        <patternFill patternType="solid">
          <fgColor indexed="64"/>
          <bgColor rgb="FF35685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ahom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ahoma"/>
        <family val="2"/>
        <scheme val="none"/>
      </font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font>
        <strike val="0"/>
        <outline val="0"/>
        <shadow val="0"/>
        <u val="none"/>
        <vertAlign val="baseline"/>
        <sz val="12"/>
        <name val="Tahoma"/>
        <family val="2"/>
        <scheme val="none"/>
      </font>
      <border outline="0">
        <right style="medium">
          <color rgb="FFCCCCCC"/>
        </right>
      </border>
    </dxf>
    <dxf>
      <border outline="0">
        <top style="medium">
          <color rgb="FFCCCCCC"/>
        </top>
      </border>
    </dxf>
    <dxf>
      <border outline="0">
        <left style="medium">
          <color rgb="FF742932"/>
        </left>
        <right style="medium">
          <color rgb="FF742932"/>
        </right>
        <top style="medium">
          <color rgb="FF742932"/>
        </top>
        <bottom style="medium">
          <color rgb="FF742932"/>
        </bottom>
      </border>
    </dxf>
    <dxf>
      <font>
        <strike val="0"/>
        <outline val="0"/>
        <shadow val="0"/>
        <u val="none"/>
        <vertAlign val="baseline"/>
        <sz val="12"/>
        <name val="Tahoma"/>
        <family val="2"/>
        <scheme val="none"/>
      </font>
    </dxf>
    <dxf>
      <border outline="0">
        <bottom style="medium">
          <color rgb="FF74293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Tahoma"/>
        <family val="2"/>
        <scheme val="none"/>
      </font>
      <fill>
        <patternFill patternType="solid">
          <fgColor indexed="64"/>
          <bgColor rgb="FF9B36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343"/>
        <name val="Tahoma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D9D9D9"/>
        </right>
        <top style="medium">
          <color rgb="FFCCCCCC"/>
        </top>
        <bottom style="medium">
          <color rgb="FFD9D9D9"/>
        </bottom>
        <vertical/>
        <horizontal/>
      </border>
    </dxf>
    <dxf>
      <border outline="0">
        <top style="medium">
          <color rgb="FFCCCCCC"/>
        </top>
      </border>
    </dxf>
    <dxf>
      <border outline="0">
        <left style="medium">
          <color rgb="FF89A17E"/>
        </left>
        <right style="medium">
          <color rgb="FF000000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fill>
        <patternFill patternType="solid">
          <fgColor rgb="FF000000"/>
          <bgColor rgb="FFF6F8F9"/>
        </patternFill>
      </fill>
      <alignment horizontal="general" vertical="bottom" textRotation="0" wrapText="1" indent="0" justifyLastLine="0" shrinkToFit="0" readingOrder="0"/>
    </dxf>
    <dxf>
      <border outline="0">
        <bottom style="medium">
          <color rgb="FF89A17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numFmt numFmtId="21" formatCode="d\-mmm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2" defaultTableStyle="EARTHWORK DIGITAL TABLE" defaultPivotStyle="PivotStyleLight16">
    <tableStyle name="EARTHWORK DIGITAL TABLE" pivot="0" count="7" xr9:uid="{30B5A2C2-B71B-4B82-9CAD-C837C53A6252}">
      <tableStyleElement type="wholeTable" dxfId="94"/>
      <tableStyleElement type="headerRow" dxfId="93"/>
      <tableStyleElement type="totalRow" dxfId="92"/>
      <tableStyleElement type="firstColumn" dxfId="91"/>
      <tableStyleElement type="lastColumn" dxfId="90"/>
      <tableStyleElement type="firstRowStripe" dxfId="89"/>
      <tableStyleElement type="firstColumnStripe" dxfId="88"/>
    </tableStyle>
    <tableStyle name="Table Style 1" pivot="0" count="0" xr9:uid="{6DD9F8FA-0B28-428D-B9CA-C69E5A123840}"/>
  </tableStyles>
  <colors>
    <mruColors>
      <color rgb="FFB2B2B2"/>
      <color rgb="FFFFFF99"/>
      <color rgb="FFFFFFCC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409C850-F408-4942-9A37-7D1221A4D8F1}" name="Table315" displayName="Table315" ref="A5:C15" totalsRowShown="0" headerRowDxfId="87" dataDxfId="85" headerRowBorderDxfId="86" tableBorderDxfId="84" totalsRowBorderDxfId="83">
  <autoFilter ref="A5:C15" xr:uid="{62FB640A-31D5-43AB-A43F-9FFADDC6E321}"/>
  <tableColumns count="3">
    <tableColumn id="1" xr3:uid="{333B33FF-9338-4BA0-89F3-3F59903B9A79}" name="Structure" dataDxfId="82"/>
    <tableColumn id="3" xr3:uid="{4C6025BC-2236-43D2-B1B2-E3AAFC6DA931}" name="Count (EA)" dataDxfId="81"/>
    <tableColumn id="2" xr3:uid="{4FF5E218-DC34-4E05-8ECD-CB5A9363F889}" name="Length (LF)" dataDxfId="80"/>
  </tableColumns>
  <tableStyleInfo name="EARTHWORK DIGITAL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6293A9-4FA5-4E92-A0F6-359240634242}" name="Table4" displayName="Table4" ref="A5:D12" totalsRowShown="0" headerRowDxfId="79" dataDxfId="77" headerRowBorderDxfId="78" tableBorderDxfId="76" totalsRowBorderDxfId="75">
  <autoFilter ref="A5:D12" xr:uid="{9A6293A9-4FA5-4E92-A0F6-359240634242}"/>
  <sortState xmlns:xlrd2="http://schemas.microsoft.com/office/spreadsheetml/2017/richdata2" ref="A6:D12">
    <sortCondition ref="C5:C12"/>
  </sortState>
  <tableColumns count="4">
    <tableColumn id="1" xr3:uid="{271117FB-B82B-4D64-A751-0D89BC71A6DA}" name="Structures -" dataDxfId="74"/>
    <tableColumn id="4" xr3:uid="{DE159A47-9D29-45F3-9381-BA022377F1D0}" name="Depth (FT)" dataDxfId="73"/>
    <tableColumn id="2" xr3:uid="{97D4A308-E867-4620-93B2-42DA14CA9467}" name="Area (SF)" dataDxfId="72"/>
    <tableColumn id="3" xr3:uid="{A673513C-AB6B-46DF-B48C-7E2BB3E27481}" name="Cut (CY)" dataDxfId="71">
      <calculatedColumnFormula>Table4[[#This Row],[Area (SF)]]*Table4[[#This Row],[Depth (FT)]]/27</calculatedColumnFormula>
    </tableColumn>
  </tableColumns>
  <tableStyleInfo name="EARTHWORK DIGITAL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E5ED75-B3B5-4564-82B7-C6E99109B9DB}" name="Table5" displayName="Table5" ref="A5:N13" totalsRowShown="0" headerRowDxfId="70" dataDxfId="68" headerRowBorderDxfId="69" tableBorderDxfId="67" totalsRowBorderDxfId="66">
  <autoFilter ref="A5:N13" xr:uid="{0FE5ED75-B3B5-4564-82B7-C6E99109B9DB}"/>
  <sortState xmlns:xlrd2="http://schemas.microsoft.com/office/spreadsheetml/2017/richdata2" ref="A6:N13">
    <sortCondition ref="A5:A13"/>
  </sortState>
  <tableColumns count="14">
    <tableColumn id="1" xr3:uid="{2C41B4C7-8E2A-48C5-96B0-C1405D0C4617}" name="Structures -" dataDxfId="65"/>
    <tableColumn id="12" xr3:uid="{6E45B5ED-2144-4142-A5CF-B6A885993917}" name="Subgrade Depth (FT)" dataDxfId="64"/>
    <tableColumn id="2" xr3:uid="{C37DA906-7415-4150-AEF5-1292D9ED6615}" name="Area      (SF)" dataDxfId="63"/>
    <tableColumn id="3" xr3:uid="{E3E91CAF-8742-4F8A-90B8-574810E96C41}" name="Cut    (CY)" dataDxfId="62"/>
    <tableColumn id="4" xr3:uid="{1E52FB5A-EC2B-4751-98D3-C519803CE4E5}" name="Fill    (CY)" dataDxfId="61"/>
    <tableColumn id="5" xr3:uid="{11E81F1E-0474-4B75-9492-3EB7821E86F5}" name="Import/Export (CY)" dataDxfId="60"/>
    <tableColumn id="11" xr3:uid="{9F5D0059-CFB4-4C07-A97B-80A420FB8497}" name="9.5mm Asphalt (TN)" dataDxfId="59"/>
    <tableColumn id="8" xr3:uid="{690EFC4B-FBBE-4E91-AB04-CED274F48C27}" name="19mm Asphalt (TN)" dataDxfId="58"/>
    <tableColumn id="6" xr3:uid="{9CA7728E-515C-41C3-A65E-B50C757FC210}" name="Porous Asphalt (TN)" dataDxfId="57"/>
    <tableColumn id="14" xr3:uid="{014621EE-6ACE-4DB2-84BA-39B74EC7107C}" name="No. 57 Stone (CY)" dataDxfId="56"/>
    <tableColumn id="13" xr3:uid="{8676E88C-3B1A-4DB5-A7E9-3C2DA8DDF1CB}" name="No. 2 Stone (CY)" dataDxfId="55"/>
    <tableColumn id="9" xr3:uid="{DEB252A4-58FD-4D54-9744-5B7937DA79CF}" name="Sub Base (CY)" dataDxfId="54"/>
    <tableColumn id="10" xr3:uid="{E140B7D8-1243-43FB-9A77-239BC6A7EDFE}" name="Concrete (CY)" dataDxfId="53"/>
    <tableColumn id="7" xr3:uid="{1EA39076-3941-41B5-AE65-AA45F51D3110}" name="Topsoil    (CY)" dataDxfId="5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CB260DB-9033-4F88-84E4-A97138A0F493}" name="Table8" displayName="Table8" ref="A5:Q23" totalsRowShown="0" headerRowDxfId="51" headerRowBorderDxfId="50" tableBorderDxfId="49" totalsRowBorderDxfId="48">
  <autoFilter ref="A5:Q23" xr:uid="{1CB260DB-9033-4F88-84E4-A97138A0F493}"/>
  <sortState xmlns:xlrd2="http://schemas.microsoft.com/office/spreadsheetml/2017/richdata2" ref="A6:Q23">
    <sortCondition ref="A5:A23"/>
  </sortState>
  <tableColumns count="17">
    <tableColumn id="1" xr3:uid="{C6D7AAD6-3606-4972-B1A2-FC562C96503F}" name="Structure" dataDxfId="47"/>
    <tableColumn id="3" xr3:uid="{55A1D663-7665-44AC-907B-37EBCF18E67A}" name="Count (EA)" dataDxfId="46"/>
    <tableColumn id="4" xr3:uid="{53761662-E57C-4E3F-AA44-2E21091D351C}" name="Average Depth (FT)" dataDxfId="45"/>
    <tableColumn id="5" xr3:uid="{7EE140BA-A25D-4933-AD64-624246738374}" name="Length       (FT)" dataDxfId="44"/>
    <tableColumn id="6" xr3:uid="{96326E08-E349-4B8B-AA03-69253999A823}" name="Excavation       (CY)" dataDxfId="43"/>
    <tableColumn id="7" xr3:uid="{D775D0CD-AB2F-42A7-BDD1-E31AA7A28EB4}" name="Backfill       (CY)" dataDxfId="42"/>
    <tableColumn id="8" xr3:uid="{823B6B9E-2CFA-4574-B2C1-C038BDDA041F}" name="Bedding       (CY)" dataDxfId="41"/>
    <tableColumn id="9" xr3:uid="{722CEC02-0B86-49E5-B1F8-109E38895D71}" name="Cover       (CY)" dataDxfId="40"/>
    <tableColumn id="18" xr3:uid="{5EABB9AE-F231-42F6-877B-05C4761B8367}" name="Export     (CY)" dataDxfId="39"/>
    <tableColumn id="10" xr3:uid="{5558CD6D-BF1F-4FEC-A783-18CE28C90C68}" name="0-4" dataDxfId="38"/>
    <tableColumn id="11" xr3:uid="{3DE3BF33-32B4-4295-9B96-C2B7611F5C38}" name="4-6" dataDxfId="37"/>
    <tableColumn id="12" xr3:uid="{2E27CDFF-ADBA-4B85-84D3-312BF87740B8}" name="6-8" dataDxfId="36"/>
    <tableColumn id="13" xr3:uid="{B488C703-844F-4B24-8B18-BE3754950F69}" name="8-10" dataDxfId="35"/>
    <tableColumn id="14" xr3:uid="{BEC28A62-DE0C-4C59-86FE-DA5C4C6941CE}" name="10-12" dataDxfId="34"/>
    <tableColumn id="15" xr3:uid="{F5C5FF79-E1FC-4393-B541-1A3ED628512E}" name="12-14" dataDxfId="33"/>
    <tableColumn id="16" xr3:uid="{ADC5BCE2-C27B-4B7F-8753-AEE99FF9176E}" name="14+" dataDxfId="32"/>
    <tableColumn id="17" xr3:uid="{2CDA7D23-6732-447A-8FA9-01422E3F1F85}" name="Above" dataDxfId="31"/>
  </tableColumns>
  <tableStyleInfo name="EARTHWORK DIGITAL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FB640A-31D5-43AB-A43F-9FFADDC6E321}" name="Table3" displayName="Table3" ref="A5:Q15" totalsRowShown="0" headerRowDxfId="30" dataDxfId="28" headerRowBorderDxfId="29" tableBorderDxfId="27" totalsRowBorderDxfId="26">
  <autoFilter ref="A5:Q15" xr:uid="{62FB640A-31D5-43AB-A43F-9FFADDC6E321}"/>
  <tableColumns count="17">
    <tableColumn id="1" xr3:uid="{EEE57DA7-8BB2-4507-80C8-10DC97FA6FE4}" name="Structure" dataDxfId="25"/>
    <tableColumn id="3" xr3:uid="{71D33B31-7B90-4CD4-A2EA-DF2A23001F3C}" name="Count (EA)" dataDxfId="24"/>
    <tableColumn id="4" xr3:uid="{7ACFC7EE-6985-4F5A-9022-36C99CB42826}" name="Average Depth (FT)" dataDxfId="23"/>
    <tableColumn id="5" xr3:uid="{3563722D-D487-44F0-B2AB-DC53323B4059}" name="Length       (FT)" dataDxfId="22"/>
    <tableColumn id="6" xr3:uid="{E33CA961-74ED-48EB-96C9-AF6A530E7A4F}" name="Excavation       (CY)" dataDxfId="21"/>
    <tableColumn id="7" xr3:uid="{70BB90D6-8CDD-4807-84BC-4EB8288FCF26}" name="Backfill       (CY)" dataDxfId="20"/>
    <tableColumn id="8" xr3:uid="{0FBAEBCC-8C9C-40C6-B3CE-79D2EAFE290E}" name="Bedding       (CY)" dataDxfId="19"/>
    <tableColumn id="9" xr3:uid="{A5FBD77A-A048-43DD-9A58-B50CF89ED229}" name="Cover       (FT)" dataDxfId="18"/>
    <tableColumn id="2" xr3:uid="{1C4516B3-5F02-4680-90A7-38D8DF16BF2B}" name="Export     (CY)" dataDxfId="17"/>
    <tableColumn id="10" xr3:uid="{57168AF7-070A-4D50-BFE7-2F33A0FF72B7}" name="0-4" dataDxfId="16"/>
    <tableColumn id="11" xr3:uid="{FA507ECD-09A0-46DD-A0A2-24E5246754BC}" name="4-6" dataDxfId="15"/>
    <tableColumn id="12" xr3:uid="{C67F5743-7DBE-415B-BC13-578781153662}" name="6-8" dataDxfId="14"/>
    <tableColumn id="13" xr3:uid="{BF5CD88C-D9DC-4067-9E8B-9651483116E0}" name="8-10" dataDxfId="13"/>
    <tableColumn id="14" xr3:uid="{FC964F3E-545C-48F4-8EA3-BFAFB070A0D9}" name="10-12" dataDxfId="12"/>
    <tableColumn id="15" xr3:uid="{B1AE208B-E942-4F83-B809-3AD7A716009A}" name="12-14" dataDxfId="11"/>
    <tableColumn id="16" xr3:uid="{BFA7B3CE-5B38-4EDD-9A43-610FE32DBFD3}" name="14+" dataDxfId="10"/>
    <tableColumn id="17" xr3:uid="{A6A8AA8A-1E52-4B30-AA3F-D5A54DB0BF7F}" name="Above" dataDxfId="9"/>
  </tableColumns>
  <tableStyleInfo name="EARTHWORK DIGITAL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989DDD0-B434-4555-B1C8-3F781D6DFD70}" name="Table31516" displayName="Table31516" ref="A5:D20" totalsRowShown="0" headerRowDxfId="8" dataDxfId="6" headerRowBorderDxfId="7" tableBorderDxfId="5" totalsRowBorderDxfId="4">
  <autoFilter ref="A5:D20" xr:uid="{62FB640A-31D5-43AB-A43F-9FFADDC6E321}"/>
  <tableColumns count="4">
    <tableColumn id="1" xr3:uid="{DD79A4CA-2A91-43EE-A721-38F003784A99}" name="Structure" dataDxfId="3"/>
    <tableColumn id="3" xr3:uid="{597C0AE0-287B-43D7-9BDF-5A1521094D03}" name="Count (EA)" dataDxfId="2"/>
    <tableColumn id="4" xr3:uid="{EF3130BE-606D-4978-B584-3AECAAF00972}" name="Area (SF)" dataDxfId="1"/>
    <tableColumn id="2" xr3:uid="{F43E427A-FC10-442D-BFAA-11EC164F3B09}" name="Length (LF)" dataDxfId="0"/>
  </tableColumns>
  <tableStyleInfo name="EARTHWORK DIGITAL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B323-4364-4C06-BAAA-4B7BF6A91A47}">
  <sheetPr>
    <pageSetUpPr fitToPage="1"/>
  </sheetPr>
  <dimension ref="A1:C23"/>
  <sheetViews>
    <sheetView workbookViewId="0">
      <selection activeCell="A16" sqref="A16"/>
    </sheetView>
  </sheetViews>
  <sheetFormatPr defaultRowHeight="14.4" x14ac:dyDescent="0.3"/>
  <cols>
    <col min="1" max="1" width="28.21875" customWidth="1"/>
    <col min="2" max="2" width="15.88671875" customWidth="1"/>
    <col min="3" max="3" width="16.6640625" customWidth="1"/>
  </cols>
  <sheetData>
    <row r="1" spans="1:3" s="2" customFormat="1" ht="33.9" customHeight="1" x14ac:dyDescent="0.25">
      <c r="A1" s="2" t="e" vm="1">
        <v>#VALUE!</v>
      </c>
      <c r="B1" s="44" t="s">
        <v>108</v>
      </c>
    </row>
    <row r="2" spans="1:3" s="2" customFormat="1" ht="15.75" customHeight="1" thickBot="1" x14ac:dyDescent="0.3">
      <c r="B2" s="43"/>
    </row>
    <row r="3" spans="1:3" ht="15.75" customHeight="1" x14ac:dyDescent="0.3">
      <c r="A3" s="129" t="s">
        <v>52</v>
      </c>
      <c r="B3" s="130"/>
      <c r="C3" s="131"/>
    </row>
    <row r="4" spans="1:3" ht="15.75" customHeight="1" x14ac:dyDescent="0.3">
      <c r="A4" s="132"/>
      <c r="B4" s="133"/>
      <c r="C4" s="134"/>
    </row>
    <row r="5" spans="1:3" s="22" customFormat="1" ht="35.25" customHeight="1" thickBot="1" x14ac:dyDescent="0.35">
      <c r="A5" s="64" t="s">
        <v>0</v>
      </c>
      <c r="B5" s="64" t="s">
        <v>1</v>
      </c>
      <c r="C5" s="76" t="s">
        <v>53</v>
      </c>
    </row>
    <row r="6" spans="1:3" ht="15.6" thickBot="1" x14ac:dyDescent="0.35">
      <c r="A6" s="45" t="s">
        <v>66</v>
      </c>
      <c r="B6" s="45">
        <v>24</v>
      </c>
      <c r="C6" s="45"/>
    </row>
    <row r="7" spans="1:3" ht="15.6" thickBot="1" x14ac:dyDescent="0.35">
      <c r="A7" s="45"/>
      <c r="B7" s="45"/>
      <c r="C7" s="45"/>
    </row>
    <row r="8" spans="1:3" ht="15.6" thickBot="1" x14ac:dyDescent="0.35">
      <c r="A8" s="45" t="s">
        <v>67</v>
      </c>
      <c r="B8" s="45"/>
      <c r="C8" s="45">
        <v>3835</v>
      </c>
    </row>
    <row r="9" spans="1:3" ht="15.6" thickBot="1" x14ac:dyDescent="0.35">
      <c r="A9" s="45"/>
      <c r="B9" s="45"/>
      <c r="C9" s="45"/>
    </row>
    <row r="10" spans="1:3" ht="15.6" thickBot="1" x14ac:dyDescent="0.35">
      <c r="A10" s="45"/>
      <c r="B10" s="45"/>
      <c r="C10" s="45"/>
    </row>
    <row r="11" spans="1:3" ht="15.6" thickBot="1" x14ac:dyDescent="0.35">
      <c r="A11" s="45"/>
      <c r="B11" s="45"/>
      <c r="C11" s="45"/>
    </row>
    <row r="12" spans="1:3" ht="15.6" thickBot="1" x14ac:dyDescent="0.35">
      <c r="A12" s="45"/>
      <c r="B12" s="45"/>
      <c r="C12" s="45"/>
    </row>
    <row r="13" spans="1:3" ht="15.6" thickBot="1" x14ac:dyDescent="0.35">
      <c r="A13" s="45"/>
      <c r="B13" s="45"/>
      <c r="C13" s="45"/>
    </row>
    <row r="14" spans="1:3" ht="15.6" thickBot="1" x14ac:dyDescent="0.35">
      <c r="A14" s="45"/>
      <c r="B14" s="45"/>
      <c r="C14" s="45"/>
    </row>
    <row r="15" spans="1:3" ht="16.5" customHeight="1" thickBot="1" x14ac:dyDescent="0.35">
      <c r="A15" s="45"/>
      <c r="B15" s="45"/>
      <c r="C15" s="45"/>
    </row>
    <row r="16" spans="1:3" ht="16.5" customHeight="1" thickBot="1" x14ac:dyDescent="0.35">
      <c r="A16" s="65"/>
      <c r="B16" s="66"/>
      <c r="C16" s="67"/>
    </row>
    <row r="19" spans="1:1" x14ac:dyDescent="0.3">
      <c r="A19" s="48" t="s">
        <v>24</v>
      </c>
    </row>
    <row r="20" spans="1:1" x14ac:dyDescent="0.3">
      <c r="A20" s="50" t="s">
        <v>26</v>
      </c>
    </row>
    <row r="21" spans="1:1" x14ac:dyDescent="0.3">
      <c r="A21" s="50" t="s">
        <v>28</v>
      </c>
    </row>
    <row r="22" spans="1:1" x14ac:dyDescent="0.3">
      <c r="A22" s="50" t="s">
        <v>30</v>
      </c>
    </row>
    <row r="23" spans="1:1" x14ac:dyDescent="0.3">
      <c r="A23" s="50" t="s">
        <v>31</v>
      </c>
    </row>
  </sheetData>
  <mergeCells count="1">
    <mergeCell ref="A3:C4"/>
  </mergeCells>
  <phoneticPr fontId="9" type="noConversion"/>
  <pageMargins left="0.25" right="0.25" top="0.75" bottom="0.75" header="0.3" footer="0.3"/>
  <pageSetup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C13C-9D61-4C7A-895E-637F12873B3A}">
  <sheetPr>
    <pageSetUpPr fitToPage="1"/>
  </sheetPr>
  <dimension ref="A1:I20"/>
  <sheetViews>
    <sheetView tabSelected="1" workbookViewId="0">
      <selection activeCell="A13" sqref="A13"/>
    </sheetView>
  </sheetViews>
  <sheetFormatPr defaultColWidth="13.109375" defaultRowHeight="15" x14ac:dyDescent="0.25"/>
  <cols>
    <col min="1" max="1" width="19.6640625" style="2" bestFit="1" customWidth="1"/>
    <col min="2" max="2" width="19.6640625" style="2" customWidth="1"/>
    <col min="3" max="4" width="18.33203125" style="2" customWidth="1"/>
    <col min="5" max="16384" width="13.109375" style="2"/>
  </cols>
  <sheetData>
    <row r="1" spans="1:9" ht="33.9" customHeight="1" x14ac:dyDescent="0.25">
      <c r="A1" s="2" t="e" vm="1">
        <v>#VALUE!</v>
      </c>
      <c r="B1" s="44" t="str">
        <f>SWPP!B1</f>
        <v>Riverbend Apartments</v>
      </c>
      <c r="C1" s="44"/>
      <c r="D1" s="44"/>
    </row>
    <row r="2" spans="1:9" ht="15.75" customHeight="1" thickBot="1" x14ac:dyDescent="0.3">
      <c r="C2" s="43"/>
      <c r="D2" s="43"/>
    </row>
    <row r="3" spans="1:9" ht="16.5" customHeight="1" x14ac:dyDescent="0.25">
      <c r="A3" s="135" t="s">
        <v>15</v>
      </c>
      <c r="B3" s="136"/>
      <c r="C3" s="136"/>
      <c r="D3" s="137"/>
    </row>
    <row r="4" spans="1:9" ht="15.75" customHeight="1" thickBot="1" x14ac:dyDescent="0.3">
      <c r="A4" s="138"/>
      <c r="B4" s="139"/>
      <c r="C4" s="139"/>
      <c r="D4" s="140"/>
    </row>
    <row r="5" spans="1:9" ht="15.6" thickBot="1" x14ac:dyDescent="0.3">
      <c r="A5" s="3" t="s">
        <v>12</v>
      </c>
      <c r="B5" s="4" t="s">
        <v>21</v>
      </c>
      <c r="C5" s="4" t="s">
        <v>13</v>
      </c>
      <c r="D5" s="5" t="s">
        <v>14</v>
      </c>
    </row>
    <row r="6" spans="1:9" ht="30.6" thickBot="1" x14ac:dyDescent="0.3">
      <c r="A6" s="6" t="s">
        <v>61</v>
      </c>
      <c r="B6" s="47">
        <v>0.5</v>
      </c>
      <c r="C6" s="45">
        <v>239008</v>
      </c>
      <c r="D6" s="45">
        <f>Table4[[#This Row],[Area (SF)]]*Table4[[#This Row],[Depth (FT)]]/27</f>
        <v>4426.0740740740739</v>
      </c>
    </row>
    <row r="7" spans="1:9" ht="16.5" customHeight="1" thickBot="1" x14ac:dyDescent="0.3">
      <c r="A7" s="6"/>
      <c r="B7" s="46"/>
      <c r="C7" s="45"/>
      <c r="D7" s="45"/>
    </row>
    <row r="8" spans="1:9" ht="30.6" thickBot="1" x14ac:dyDescent="0.3">
      <c r="A8" s="6" t="s">
        <v>62</v>
      </c>
      <c r="B8" s="46">
        <v>0.5</v>
      </c>
      <c r="C8" s="45">
        <v>53387</v>
      </c>
      <c r="D8" s="45">
        <f>Table4[[#This Row],[Area (SF)]]*Table4[[#This Row],[Depth (FT)]]/27</f>
        <v>988.64814814814815</v>
      </c>
      <c r="F8" s="74" t="s">
        <v>64</v>
      </c>
      <c r="G8" s="74"/>
      <c r="H8" s="75">
        <f>SUM(D6:D8)</f>
        <v>5414.7222222222217</v>
      </c>
      <c r="I8" s="74" t="s">
        <v>65</v>
      </c>
    </row>
    <row r="9" spans="1:9" ht="16.5" customHeight="1" thickBot="1" x14ac:dyDescent="0.3">
      <c r="A9" s="6"/>
      <c r="B9" s="46"/>
      <c r="C9" s="45"/>
      <c r="D9" s="45"/>
    </row>
    <row r="10" spans="1:9" ht="16.5" customHeight="1" thickBot="1" x14ac:dyDescent="0.3">
      <c r="A10" s="6" t="s">
        <v>63</v>
      </c>
      <c r="B10" s="46">
        <v>0.66700000000000004</v>
      </c>
      <c r="C10" s="45">
        <v>1477</v>
      </c>
      <c r="D10" s="45">
        <v>41.4</v>
      </c>
    </row>
    <row r="11" spans="1:9" ht="16.5" customHeight="1" thickBot="1" x14ac:dyDescent="0.3">
      <c r="A11" s="6"/>
      <c r="B11" s="46"/>
      <c r="C11" s="45"/>
      <c r="D11" s="45"/>
    </row>
    <row r="12" spans="1:9" ht="16.5" customHeight="1" thickBot="1" x14ac:dyDescent="0.3">
      <c r="A12" s="12"/>
      <c r="B12" s="46"/>
      <c r="C12" s="45"/>
      <c r="D12" s="45"/>
    </row>
    <row r="13" spans="1:9" ht="16.5" customHeight="1" thickBot="1" x14ac:dyDescent="0.3">
      <c r="A13" s="10" t="s">
        <v>6</v>
      </c>
      <c r="B13" s="52"/>
      <c r="C13" s="52">
        <f>SUM(Table4[Area (SF)])</f>
        <v>293872</v>
      </c>
      <c r="D13" s="52">
        <f>SUM(Table4[Cut (CY)])</f>
        <v>5456.1222222222214</v>
      </c>
    </row>
    <row r="16" spans="1:9" ht="15.6" x14ac:dyDescent="0.3">
      <c r="A16" s="48" t="s">
        <v>24</v>
      </c>
      <c r="B16"/>
      <c r="C16"/>
      <c r="D16"/>
      <c r="E16"/>
      <c r="G16" s="49" t="s">
        <v>25</v>
      </c>
    </row>
    <row r="17" spans="1:7" ht="15.6" x14ac:dyDescent="0.3">
      <c r="A17" s="50" t="s">
        <v>26</v>
      </c>
      <c r="B17"/>
      <c r="C17"/>
      <c r="D17"/>
      <c r="E17"/>
      <c r="G17" s="49" t="s">
        <v>27</v>
      </c>
    </row>
    <row r="18" spans="1:7" ht="15.6" x14ac:dyDescent="0.3">
      <c r="A18" s="50" t="s">
        <v>28</v>
      </c>
      <c r="B18"/>
      <c r="C18"/>
      <c r="D18"/>
      <c r="E18"/>
      <c r="G18" s="49" t="s">
        <v>29</v>
      </c>
    </row>
    <row r="19" spans="1:7" ht="15.6" x14ac:dyDescent="0.3">
      <c r="A19" s="50" t="s">
        <v>30</v>
      </c>
      <c r="B19"/>
      <c r="C19"/>
      <c r="D19"/>
      <c r="E19"/>
    </row>
    <row r="20" spans="1:7" ht="15.6" x14ac:dyDescent="0.3">
      <c r="A20" s="50" t="s">
        <v>31</v>
      </c>
      <c r="B20"/>
      <c r="C20"/>
      <c r="D20"/>
      <c r="E20"/>
    </row>
  </sheetData>
  <mergeCells count="1">
    <mergeCell ref="A3:D4"/>
  </mergeCells>
  <pageMargins left="0.7" right="0.7" top="0.75" bottom="0.75" header="0.3" footer="0.3"/>
  <pageSetup scale="88" orientation="landscape" horizontalDpi="300" verticalDpi="300" r:id="rId1"/>
  <ignoredErrors>
    <ignoredError sqref="D10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C27F-EBEE-458D-8316-12D7C103EB2F}">
  <sheetPr>
    <pageSetUpPr fitToPage="1"/>
  </sheetPr>
  <dimension ref="A1:N22"/>
  <sheetViews>
    <sheetView workbookViewId="0">
      <selection activeCell="N12" sqref="N12"/>
    </sheetView>
  </sheetViews>
  <sheetFormatPr defaultColWidth="9.109375" defaultRowHeight="15" x14ac:dyDescent="0.25"/>
  <cols>
    <col min="1" max="1" width="41.5546875" style="2" customWidth="1"/>
    <col min="2" max="2" width="13" style="2" customWidth="1"/>
    <col min="3" max="3" width="13.33203125" style="2" customWidth="1"/>
    <col min="4" max="5" width="10.33203125" style="2" customWidth="1"/>
    <col min="6" max="11" width="18.88671875" style="2" customWidth="1"/>
    <col min="12" max="14" width="14.6640625" style="2" customWidth="1"/>
    <col min="15" max="16384" width="9.109375" style="2"/>
  </cols>
  <sheetData>
    <row r="1" spans="1:14" ht="33.9" customHeight="1" x14ac:dyDescent="0.25">
      <c r="A1" s="2" t="e" vm="1">
        <v>#VALUE!</v>
      </c>
      <c r="B1" s="44" t="str">
        <f>SWPP!B1</f>
        <v>Riverbend Apartments</v>
      </c>
      <c r="C1" s="44"/>
    </row>
    <row r="2" spans="1:14" ht="15.75" customHeight="1" x14ac:dyDescent="0.25">
      <c r="B2" s="43"/>
      <c r="C2" s="43"/>
    </row>
    <row r="3" spans="1:14" x14ac:dyDescent="0.25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ht="45.6" thickBot="1" x14ac:dyDescent="0.3">
      <c r="A5" s="8" t="s">
        <v>12</v>
      </c>
      <c r="B5" s="8" t="s">
        <v>23</v>
      </c>
      <c r="C5" s="9" t="s">
        <v>35</v>
      </c>
      <c r="D5" s="9" t="s">
        <v>34</v>
      </c>
      <c r="E5" s="9" t="s">
        <v>33</v>
      </c>
      <c r="F5" s="9" t="s">
        <v>16</v>
      </c>
      <c r="G5" s="9" t="s">
        <v>59</v>
      </c>
      <c r="H5" s="9" t="s">
        <v>60</v>
      </c>
      <c r="I5" s="9" t="s">
        <v>70</v>
      </c>
      <c r="J5" s="9" t="s">
        <v>71</v>
      </c>
      <c r="K5" s="9" t="s">
        <v>72</v>
      </c>
      <c r="L5" s="9" t="s">
        <v>51</v>
      </c>
      <c r="M5" s="9" t="s">
        <v>38</v>
      </c>
      <c r="N5" s="9" t="s">
        <v>32</v>
      </c>
    </row>
    <row r="6" spans="1:14" ht="16.5" customHeight="1" thickBot="1" x14ac:dyDescent="0.3">
      <c r="A6" s="6" t="s">
        <v>109</v>
      </c>
      <c r="B6" s="51">
        <v>1</v>
      </c>
      <c r="C6" s="45">
        <v>52092</v>
      </c>
      <c r="D6" s="45">
        <v>30</v>
      </c>
      <c r="E6" s="45">
        <v>3809</v>
      </c>
      <c r="F6" s="45">
        <f>Table5[[#This Row],[Cut    (CY)]]-Table5[[#This Row],[Fill    (CY)]]</f>
        <v>-3779</v>
      </c>
      <c r="G6" s="45"/>
      <c r="H6" s="45"/>
      <c r="I6" s="45"/>
      <c r="J6" s="45"/>
      <c r="K6" s="45"/>
      <c r="L6" s="45"/>
      <c r="M6" s="45"/>
      <c r="N6" s="45"/>
    </row>
    <row r="7" spans="1:14" ht="16.5" customHeight="1" thickBot="1" x14ac:dyDescent="0.3">
      <c r="A7" s="7" t="s">
        <v>55</v>
      </c>
      <c r="B7" s="51">
        <v>1.5</v>
      </c>
      <c r="C7" s="45">
        <v>4176</v>
      </c>
      <c r="D7" s="45">
        <v>15</v>
      </c>
      <c r="E7" s="45">
        <v>202</v>
      </c>
      <c r="F7" s="45">
        <f>Table5[[#This Row],[Cut    (CY)]]-Table5[[#This Row],[Fill    (CY)]]</f>
        <v>-187</v>
      </c>
      <c r="G7" s="45"/>
      <c r="H7" s="45"/>
      <c r="I7" s="45"/>
      <c r="J7" s="45"/>
      <c r="K7" s="45"/>
      <c r="L7" s="45"/>
      <c r="M7" s="45"/>
      <c r="N7" s="45"/>
    </row>
    <row r="8" spans="1:14" ht="16.5" customHeight="1" thickBot="1" x14ac:dyDescent="0.3">
      <c r="A8" s="6" t="s">
        <v>56</v>
      </c>
      <c r="B8" s="51">
        <v>0.91700000000000004</v>
      </c>
      <c r="C8" s="45">
        <v>58735</v>
      </c>
      <c r="D8" s="45">
        <v>115</v>
      </c>
      <c r="E8" s="45">
        <v>4971</v>
      </c>
      <c r="F8" s="45">
        <f>Table5[[#This Row],[Cut    (CY)]]-Table5[[#This Row],[Fill    (CY)]]</f>
        <v>-4856</v>
      </c>
      <c r="G8" s="45">
        <v>1204</v>
      </c>
      <c r="H8" s="45">
        <v>2177</v>
      </c>
      <c r="I8" s="45"/>
      <c r="J8" s="45"/>
      <c r="K8" s="45"/>
      <c r="L8" s="45">
        <v>2155</v>
      </c>
      <c r="M8" s="45"/>
      <c r="N8" s="45"/>
    </row>
    <row r="9" spans="1:14" ht="16.5" customHeight="1" thickBot="1" x14ac:dyDescent="0.3">
      <c r="A9" s="6" t="s">
        <v>69</v>
      </c>
      <c r="B9" s="51">
        <v>2.6070000000000002</v>
      </c>
      <c r="C9" s="77">
        <v>60289</v>
      </c>
      <c r="D9" s="77">
        <v>1239</v>
      </c>
      <c r="E9" s="77">
        <v>688</v>
      </c>
      <c r="F9" s="77">
        <f>Table5[[#This Row],[Cut    (CY)]]-Table5[[#This Row],[Fill    (CY)]]</f>
        <v>551</v>
      </c>
      <c r="G9" s="45"/>
      <c r="H9" s="45"/>
      <c r="I9" s="45">
        <v>1117</v>
      </c>
      <c r="J9" s="45">
        <v>123</v>
      </c>
      <c r="K9" s="45">
        <v>4165</v>
      </c>
      <c r="L9" s="77"/>
      <c r="M9" s="77"/>
      <c r="N9" s="78"/>
    </row>
    <row r="10" spans="1:14" ht="16.5" customHeight="1" thickBot="1" x14ac:dyDescent="0.3">
      <c r="A10" s="6" t="s">
        <v>57</v>
      </c>
      <c r="B10" s="51">
        <v>0.66700000000000004</v>
      </c>
      <c r="C10" s="45">
        <v>24301</v>
      </c>
      <c r="D10" s="45">
        <v>23</v>
      </c>
      <c r="E10" s="45">
        <v>1998</v>
      </c>
      <c r="F10" s="45">
        <f>Table5[[#This Row],[Cut    (CY)]]-Table5[[#This Row],[Fill    (CY)]]</f>
        <v>-1975</v>
      </c>
      <c r="G10" s="45"/>
      <c r="H10" s="45"/>
      <c r="I10" s="45"/>
      <c r="J10" s="45"/>
      <c r="K10" s="45"/>
      <c r="L10" s="45">
        <v>325</v>
      </c>
      <c r="M10" s="45">
        <v>325</v>
      </c>
      <c r="N10" s="45"/>
    </row>
    <row r="11" spans="1:14" ht="16.5" customHeight="1" thickBot="1" x14ac:dyDescent="0.3">
      <c r="A11" s="6" t="s">
        <v>58</v>
      </c>
      <c r="B11" s="51">
        <v>0.5</v>
      </c>
      <c r="C11" s="45">
        <v>151920</v>
      </c>
      <c r="D11" s="45">
        <v>567</v>
      </c>
      <c r="E11" s="45">
        <v>4793</v>
      </c>
      <c r="F11" s="45">
        <f>Table5[[#This Row],[Cut    (CY)]]-Table5[[#This Row],[Fill    (CY)]]</f>
        <v>-4226</v>
      </c>
      <c r="G11" s="45"/>
      <c r="H11" s="45"/>
      <c r="I11" s="45"/>
      <c r="J11" s="45"/>
      <c r="K11" s="45"/>
      <c r="L11" s="45"/>
      <c r="M11" s="45"/>
      <c r="N11" s="45">
        <v>2299</v>
      </c>
    </row>
    <row r="12" spans="1:14" ht="16.5" customHeight="1" thickBot="1" x14ac:dyDescent="0.3">
      <c r="A12" s="6"/>
      <c r="B12" s="51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4" ht="16.5" customHeight="1" thickBot="1" x14ac:dyDescent="0.3">
      <c r="A13" s="6"/>
      <c r="B13" s="51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ht="16.5" customHeight="1" thickBot="1" x14ac:dyDescent="0.3">
      <c r="A14" s="11" t="s">
        <v>6</v>
      </c>
      <c r="B14" s="42"/>
      <c r="C14" s="53">
        <f>SUM(Table5[Area      (SF)])</f>
        <v>351513</v>
      </c>
      <c r="D14" s="53">
        <f>SUM(Table5[Cut    (CY)])</f>
        <v>1989</v>
      </c>
      <c r="E14" s="53">
        <f>SUM(Table5[Fill    (CY)])</f>
        <v>16461</v>
      </c>
      <c r="F14" s="53">
        <f>SUM(Table5[Import/Export (CY)])</f>
        <v>-14472</v>
      </c>
      <c r="G14" s="53">
        <f>SUM(Table5[9.5mm Asphalt (TN)])</f>
        <v>1204</v>
      </c>
      <c r="H14" s="53">
        <f>SUM(Table5[19mm Asphalt (TN)])</f>
        <v>2177</v>
      </c>
      <c r="I14" s="53">
        <f>SUM(Table5[Porous Asphalt (TN)])</f>
        <v>1117</v>
      </c>
      <c r="J14" s="53">
        <f>SUM(Table5[No. 57 Stone (CY)])</f>
        <v>123</v>
      </c>
      <c r="K14" s="53">
        <f>SUM(Table5[No. 2 Stone (CY)])</f>
        <v>4165</v>
      </c>
      <c r="L14" s="53">
        <f>SUM(Table5[Sub Base (CY)])</f>
        <v>2480</v>
      </c>
      <c r="M14" s="53">
        <f>SUM(Table5[Concrete (CY)])</f>
        <v>325</v>
      </c>
      <c r="N14" s="53">
        <f>SUM(Table5[Topsoil    (CY)])</f>
        <v>2299</v>
      </c>
    </row>
    <row r="17" spans="1:14" ht="15.6" x14ac:dyDescent="0.3">
      <c r="A17" s="48" t="s">
        <v>24</v>
      </c>
      <c r="B17"/>
      <c r="C17"/>
      <c r="D17"/>
      <c r="E17"/>
      <c r="F17"/>
      <c r="G17" s="49" t="s">
        <v>25</v>
      </c>
      <c r="H17"/>
      <c r="I17"/>
      <c r="J17"/>
      <c r="K17"/>
      <c r="M17"/>
      <c r="N17"/>
    </row>
    <row r="18" spans="1:14" ht="15.6" x14ac:dyDescent="0.3">
      <c r="A18" s="50" t="s">
        <v>26</v>
      </c>
      <c r="B18"/>
      <c r="C18"/>
      <c r="D18"/>
      <c r="E18"/>
      <c r="F18"/>
      <c r="G18" s="49" t="s">
        <v>27</v>
      </c>
      <c r="H18"/>
      <c r="I18"/>
      <c r="J18"/>
      <c r="K18"/>
      <c r="M18"/>
      <c r="N18"/>
    </row>
    <row r="19" spans="1:14" ht="15.6" x14ac:dyDescent="0.3">
      <c r="A19" s="50" t="s">
        <v>28</v>
      </c>
      <c r="B19"/>
      <c r="C19"/>
      <c r="D19"/>
      <c r="E19"/>
      <c r="F19"/>
      <c r="G19" s="49" t="s">
        <v>29</v>
      </c>
      <c r="H19"/>
      <c r="I19"/>
      <c r="J19"/>
      <c r="K19"/>
      <c r="M19"/>
      <c r="N19"/>
    </row>
    <row r="20" spans="1:14" ht="15.6" x14ac:dyDescent="0.3">
      <c r="A20" s="50" t="s">
        <v>30</v>
      </c>
      <c r="B20"/>
      <c r="C20"/>
      <c r="D20"/>
      <c r="E20"/>
      <c r="F20"/>
      <c r="H20"/>
      <c r="I20"/>
      <c r="J20"/>
      <c r="K20"/>
      <c r="M20"/>
      <c r="N20"/>
    </row>
    <row r="21" spans="1:14" ht="15.6" x14ac:dyDescent="0.3">
      <c r="A21" s="50" t="s">
        <v>31</v>
      </c>
      <c r="B21"/>
      <c r="C21"/>
      <c r="D21"/>
      <c r="E21"/>
      <c r="F21"/>
      <c r="G21" s="49" t="s">
        <v>36</v>
      </c>
      <c r="H21"/>
      <c r="I21"/>
      <c r="J21"/>
      <c r="K21"/>
      <c r="M21"/>
      <c r="N21"/>
    </row>
    <row r="22" spans="1:14" x14ac:dyDescent="0.25">
      <c r="G22" s="49" t="s">
        <v>37</v>
      </c>
    </row>
  </sheetData>
  <mergeCells count="1">
    <mergeCell ref="A3:N4"/>
  </mergeCells>
  <phoneticPr fontId="9" type="noConversion"/>
  <pageMargins left="0.7" right="0.7" top="0.75" bottom="0.75" header="0.3" footer="0.3"/>
  <pageSetup scale="49" fitToHeight="0"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4C1C7-548B-4F3B-9B4E-D56D949CAD81}">
  <sheetPr>
    <pageSetUpPr fitToPage="1"/>
  </sheetPr>
  <dimension ref="A1:Q31"/>
  <sheetViews>
    <sheetView workbookViewId="0">
      <selection activeCell="A24" sqref="A24"/>
    </sheetView>
  </sheetViews>
  <sheetFormatPr defaultRowHeight="14.4" x14ac:dyDescent="0.3"/>
  <cols>
    <col min="1" max="1" width="24.33203125" customWidth="1"/>
    <col min="2" max="9" width="14.109375" customWidth="1"/>
    <col min="10" max="10" width="11.33203125" bestFit="1" customWidth="1"/>
    <col min="11" max="12" width="9.6640625" bestFit="1" customWidth="1"/>
    <col min="13" max="13" width="11.5546875" customWidth="1"/>
    <col min="14" max="15" width="12.5546875" bestFit="1" customWidth="1"/>
    <col min="16" max="16" width="10.5546875" bestFit="1" customWidth="1"/>
    <col min="17" max="17" width="13.109375" bestFit="1" customWidth="1"/>
  </cols>
  <sheetData>
    <row r="1" spans="1:17" s="2" customFormat="1" ht="33.9" customHeight="1" x14ac:dyDescent="0.25">
      <c r="A1" s="2" t="e" vm="1">
        <v>#VALUE!</v>
      </c>
      <c r="B1" s="44" t="str">
        <f>Demo!B1</f>
        <v>Riverbend Apartments</v>
      </c>
    </row>
    <row r="2" spans="1:17" s="2" customFormat="1" ht="15.75" customHeight="1" thickBot="1" x14ac:dyDescent="0.3">
      <c r="B2" s="43"/>
    </row>
    <row r="3" spans="1:17" ht="15" customHeight="1" x14ac:dyDescent="0.3">
      <c r="A3" s="148" t="s">
        <v>18</v>
      </c>
      <c r="B3" s="149"/>
      <c r="C3" s="149"/>
      <c r="D3" s="149"/>
      <c r="E3" s="149"/>
      <c r="F3" s="149"/>
      <c r="G3" s="149"/>
      <c r="H3" s="149"/>
      <c r="I3" s="150"/>
      <c r="J3" s="142" t="s">
        <v>21</v>
      </c>
      <c r="K3" s="143"/>
      <c r="L3" s="143"/>
      <c r="M3" s="143"/>
      <c r="N3" s="143"/>
      <c r="O3" s="143"/>
      <c r="P3" s="143"/>
      <c r="Q3" s="144"/>
    </row>
    <row r="4" spans="1:17" ht="15.75" customHeight="1" thickBot="1" x14ac:dyDescent="0.35">
      <c r="A4" s="151"/>
      <c r="B4" s="146"/>
      <c r="C4" s="146"/>
      <c r="D4" s="146"/>
      <c r="E4" s="146"/>
      <c r="F4" s="146"/>
      <c r="G4" s="146"/>
      <c r="H4" s="146"/>
      <c r="I4" s="147"/>
      <c r="J4" s="145"/>
      <c r="K4" s="146"/>
      <c r="L4" s="146"/>
      <c r="M4" s="146"/>
      <c r="N4" s="146"/>
      <c r="O4" s="146"/>
      <c r="P4" s="146"/>
      <c r="Q4" s="147"/>
    </row>
    <row r="5" spans="1:17" s="22" customFormat="1" ht="35.25" customHeight="1" thickBot="1" x14ac:dyDescent="0.35">
      <c r="A5" s="20" t="s">
        <v>0</v>
      </c>
      <c r="B5" s="21" t="s">
        <v>1</v>
      </c>
      <c r="C5" s="21" t="s">
        <v>2</v>
      </c>
      <c r="D5" s="21" t="s">
        <v>40</v>
      </c>
      <c r="E5" s="21" t="s">
        <v>41</v>
      </c>
      <c r="F5" s="21" t="s">
        <v>42</v>
      </c>
      <c r="G5" s="21" t="s">
        <v>43</v>
      </c>
      <c r="H5" s="24" t="s">
        <v>90</v>
      </c>
      <c r="I5" s="21" t="s">
        <v>39</v>
      </c>
      <c r="J5" s="25" t="s">
        <v>3</v>
      </c>
      <c r="K5" s="23" t="s">
        <v>7</v>
      </c>
      <c r="L5" s="23" t="s">
        <v>8</v>
      </c>
      <c r="M5" s="23" t="s">
        <v>9</v>
      </c>
      <c r="N5" s="23" t="s">
        <v>10</v>
      </c>
      <c r="O5" s="23" t="s">
        <v>11</v>
      </c>
      <c r="P5" s="23" t="s">
        <v>4</v>
      </c>
      <c r="Q5" s="26" t="s">
        <v>5</v>
      </c>
    </row>
    <row r="6" spans="1:17" ht="16.5" customHeight="1" thickBot="1" x14ac:dyDescent="0.35">
      <c r="A6" s="174" t="s">
        <v>85</v>
      </c>
      <c r="B6" s="13"/>
      <c r="C6" s="57">
        <v>3.2</v>
      </c>
      <c r="D6" s="81">
        <v>115.7</v>
      </c>
      <c r="E6" s="81">
        <v>73.2</v>
      </c>
      <c r="F6" s="81">
        <v>55.1</v>
      </c>
      <c r="G6" s="81">
        <v>10.7</v>
      </c>
      <c r="H6" s="82">
        <v>3.9</v>
      </c>
      <c r="I6" s="81">
        <v>16</v>
      </c>
      <c r="J6" s="89">
        <v>98</v>
      </c>
      <c r="K6" s="81">
        <v>14</v>
      </c>
      <c r="L6" s="81">
        <v>0</v>
      </c>
      <c r="M6" s="81">
        <v>0</v>
      </c>
      <c r="N6" s="81">
        <v>0</v>
      </c>
      <c r="O6" s="81">
        <v>0</v>
      </c>
      <c r="P6" s="81">
        <v>0</v>
      </c>
      <c r="Q6" s="90">
        <v>0</v>
      </c>
    </row>
    <row r="7" spans="1:17" ht="16.5" customHeight="1" thickBot="1" x14ac:dyDescent="0.35">
      <c r="A7" s="175" t="s">
        <v>86</v>
      </c>
      <c r="B7" s="79">
        <v>9</v>
      </c>
      <c r="C7" s="80"/>
      <c r="D7" s="83"/>
      <c r="E7" s="83"/>
      <c r="F7" s="83"/>
      <c r="G7" s="83"/>
      <c r="H7" s="83"/>
      <c r="I7" s="84"/>
      <c r="J7" s="91"/>
      <c r="K7" s="82"/>
      <c r="L7" s="82"/>
      <c r="M7" s="82"/>
      <c r="N7" s="82"/>
      <c r="O7" s="82"/>
      <c r="P7" s="82"/>
      <c r="Q7" s="90"/>
    </row>
    <row r="8" spans="1:17" ht="16.5" customHeight="1" thickBot="1" x14ac:dyDescent="0.35">
      <c r="A8" s="175" t="s">
        <v>89</v>
      </c>
      <c r="B8" s="79"/>
      <c r="C8" s="80">
        <v>3.3</v>
      </c>
      <c r="D8" s="83">
        <v>875</v>
      </c>
      <c r="E8" s="83">
        <v>660.4</v>
      </c>
      <c r="F8" s="83">
        <v>478.7</v>
      </c>
      <c r="G8" s="83">
        <v>98.5</v>
      </c>
      <c r="H8" s="83">
        <v>37.4</v>
      </c>
      <c r="I8" s="84">
        <v>148.30000000000001</v>
      </c>
      <c r="J8" s="91">
        <v>688.9</v>
      </c>
      <c r="K8" s="82">
        <v>207.7</v>
      </c>
      <c r="L8" s="82">
        <v>2</v>
      </c>
      <c r="M8" s="82">
        <v>0</v>
      </c>
      <c r="N8" s="82">
        <v>0</v>
      </c>
      <c r="O8" s="82">
        <v>0</v>
      </c>
      <c r="P8" s="82">
        <v>0</v>
      </c>
      <c r="Q8" s="90">
        <v>0</v>
      </c>
    </row>
    <row r="9" spans="1:17" ht="16.5" customHeight="1" thickBot="1" x14ac:dyDescent="0.35">
      <c r="A9" s="175" t="s">
        <v>87</v>
      </c>
      <c r="B9" s="79">
        <v>1</v>
      </c>
      <c r="C9" s="80"/>
      <c r="D9" s="83"/>
      <c r="E9" s="83"/>
      <c r="F9" s="83"/>
      <c r="G9" s="83"/>
      <c r="H9" s="83"/>
      <c r="I9" s="84"/>
      <c r="J9" s="91"/>
      <c r="K9" s="82"/>
      <c r="L9" s="82"/>
      <c r="M9" s="82"/>
      <c r="N9" s="82"/>
      <c r="O9" s="82"/>
      <c r="P9" s="82"/>
      <c r="Q9" s="90"/>
    </row>
    <row r="10" spans="1:17" ht="16.5" customHeight="1" thickBot="1" x14ac:dyDescent="0.35">
      <c r="A10" s="175" t="s">
        <v>88</v>
      </c>
      <c r="B10" s="79"/>
      <c r="C10" s="80">
        <v>3.7</v>
      </c>
      <c r="D10" s="83">
        <v>142.9</v>
      </c>
      <c r="E10" s="83">
        <v>130.80000000000001</v>
      </c>
      <c r="F10" s="83">
        <v>111.2</v>
      </c>
      <c r="G10" s="83">
        <v>15</v>
      </c>
      <c r="H10" s="83">
        <v>4.5</v>
      </c>
      <c r="I10" s="84">
        <v>27.2</v>
      </c>
      <c r="J10" s="91">
        <v>101.5</v>
      </c>
      <c r="K10" s="82">
        <v>8.1999999999999993</v>
      </c>
      <c r="L10" s="82">
        <v>47.3</v>
      </c>
      <c r="M10" s="82">
        <v>0</v>
      </c>
      <c r="N10" s="82">
        <v>0</v>
      </c>
      <c r="O10" s="82">
        <v>0</v>
      </c>
      <c r="P10" s="82">
        <v>0</v>
      </c>
      <c r="Q10" s="90">
        <v>0</v>
      </c>
    </row>
    <row r="11" spans="1:17" ht="16.5" customHeight="1" thickBot="1" x14ac:dyDescent="0.35">
      <c r="A11" s="174" t="s">
        <v>73</v>
      </c>
      <c r="B11" s="79"/>
      <c r="C11" s="80">
        <v>4.4000000000000004</v>
      </c>
      <c r="D11" s="83">
        <v>55.8</v>
      </c>
      <c r="E11" s="83">
        <v>175.5</v>
      </c>
      <c r="F11" s="83">
        <v>160.30000000000001</v>
      </c>
      <c r="G11" s="83">
        <v>8</v>
      </c>
      <c r="H11" s="83">
        <v>3.5</v>
      </c>
      <c r="I11" s="84">
        <v>15.3</v>
      </c>
      <c r="J11" s="91">
        <v>0</v>
      </c>
      <c r="K11" s="82">
        <v>0</v>
      </c>
      <c r="L11" s="82">
        <v>62.1</v>
      </c>
      <c r="M11" s="82">
        <v>0</v>
      </c>
      <c r="N11" s="82">
        <v>0</v>
      </c>
      <c r="O11" s="82">
        <v>0</v>
      </c>
      <c r="P11" s="82">
        <v>0</v>
      </c>
      <c r="Q11" s="90">
        <v>0</v>
      </c>
    </row>
    <row r="12" spans="1:17" ht="16.5" customHeight="1" thickBot="1" x14ac:dyDescent="0.35">
      <c r="A12" s="175" t="s">
        <v>74</v>
      </c>
      <c r="B12" s="79"/>
      <c r="C12" s="80">
        <v>5.7</v>
      </c>
      <c r="D12" s="83">
        <v>2324.75</v>
      </c>
      <c r="E12" s="83">
        <v>2987.41</v>
      </c>
      <c r="F12" s="83">
        <v>1857.98</v>
      </c>
      <c r="G12" s="83">
        <v>323.62</v>
      </c>
      <c r="H12" s="83">
        <v>176.38</v>
      </c>
      <c r="I12" s="84">
        <v>679.43</v>
      </c>
      <c r="J12" s="91">
        <v>988.79</v>
      </c>
      <c r="K12" s="82">
        <v>1398.17</v>
      </c>
      <c r="L12" s="82">
        <v>345.76</v>
      </c>
      <c r="M12" s="82">
        <v>0</v>
      </c>
      <c r="N12" s="82">
        <v>0</v>
      </c>
      <c r="O12" s="82">
        <v>0</v>
      </c>
      <c r="P12" s="82">
        <v>0</v>
      </c>
      <c r="Q12" s="90">
        <v>0</v>
      </c>
    </row>
    <row r="13" spans="1:17" ht="16.5" customHeight="1" thickBot="1" x14ac:dyDescent="0.35">
      <c r="A13" s="175" t="s">
        <v>75</v>
      </c>
      <c r="B13" s="79"/>
      <c r="C13" s="80">
        <v>11.8</v>
      </c>
      <c r="D13" s="83">
        <v>550.01</v>
      </c>
      <c r="E13" s="83">
        <v>2656.85</v>
      </c>
      <c r="F13" s="83">
        <v>2198.09</v>
      </c>
      <c r="G13" s="83">
        <v>96.67</v>
      </c>
      <c r="H13" s="83">
        <v>24.96</v>
      </c>
      <c r="I13" s="84">
        <v>217.76</v>
      </c>
      <c r="J13" s="91">
        <v>0</v>
      </c>
      <c r="K13" s="82">
        <v>47.59</v>
      </c>
      <c r="L13" s="82">
        <v>0</v>
      </c>
      <c r="M13" s="82">
        <v>485.01</v>
      </c>
      <c r="N13" s="82">
        <v>9.4</v>
      </c>
      <c r="O13" s="82">
        <v>0</v>
      </c>
      <c r="P13" s="82">
        <v>0</v>
      </c>
      <c r="Q13" s="90">
        <v>0</v>
      </c>
    </row>
    <row r="14" spans="1:17" ht="16.5" customHeight="1" thickBot="1" x14ac:dyDescent="0.35">
      <c r="A14" s="175" t="s">
        <v>76</v>
      </c>
      <c r="B14" s="79">
        <v>3</v>
      </c>
      <c r="C14" s="80"/>
      <c r="D14" s="83"/>
      <c r="E14" s="83"/>
      <c r="F14" s="83"/>
      <c r="G14" s="83"/>
      <c r="H14" s="83"/>
      <c r="I14" s="84"/>
      <c r="J14" s="91"/>
      <c r="K14" s="82"/>
      <c r="L14" s="82"/>
      <c r="M14" s="82"/>
      <c r="N14" s="82"/>
      <c r="O14" s="82"/>
      <c r="P14" s="82"/>
      <c r="Q14" s="90"/>
    </row>
    <row r="15" spans="1:17" ht="16.5" customHeight="1" thickBot="1" x14ac:dyDescent="0.35">
      <c r="A15" s="175" t="s">
        <v>77</v>
      </c>
      <c r="B15" s="79"/>
      <c r="C15" s="80">
        <v>15.34</v>
      </c>
      <c r="D15" s="83">
        <v>923.31</v>
      </c>
      <c r="E15" s="83">
        <v>7942.47</v>
      </c>
      <c r="F15" s="83">
        <v>7071.69</v>
      </c>
      <c r="G15" s="83">
        <v>188.9</v>
      </c>
      <c r="H15" s="83">
        <v>65.3</v>
      </c>
      <c r="I15" s="84">
        <v>488.9</v>
      </c>
      <c r="J15" s="91">
        <v>42.6</v>
      </c>
      <c r="K15" s="82">
        <v>15.4</v>
      </c>
      <c r="L15" s="82">
        <v>44.8</v>
      </c>
      <c r="M15" s="82">
        <v>120.43</v>
      </c>
      <c r="N15" s="82">
        <v>325.36</v>
      </c>
      <c r="O15" s="82">
        <v>233.4</v>
      </c>
      <c r="P15" s="82">
        <v>163.46</v>
      </c>
      <c r="Q15" s="90">
        <v>0</v>
      </c>
    </row>
    <row r="16" spans="1:17" ht="16.5" customHeight="1" thickBot="1" x14ac:dyDescent="0.35">
      <c r="A16" s="175" t="s">
        <v>78</v>
      </c>
      <c r="B16" s="79">
        <v>15</v>
      </c>
      <c r="C16" s="80">
        <v>3.3</v>
      </c>
      <c r="D16" s="83"/>
      <c r="E16" s="83"/>
      <c r="F16" s="83"/>
      <c r="G16" s="83"/>
      <c r="H16" s="83"/>
      <c r="I16" s="84"/>
      <c r="J16" s="91">
        <v>2</v>
      </c>
      <c r="K16" s="82">
        <v>77.2</v>
      </c>
      <c r="L16" s="82">
        <v>9</v>
      </c>
      <c r="M16" s="82">
        <v>2.4</v>
      </c>
      <c r="N16" s="82">
        <v>1.1000000000000001</v>
      </c>
      <c r="O16" s="82">
        <v>1.4</v>
      </c>
      <c r="P16" s="82">
        <v>0</v>
      </c>
      <c r="Q16" s="90">
        <v>0</v>
      </c>
    </row>
    <row r="17" spans="1:17" ht="16.5" customHeight="1" thickBot="1" x14ac:dyDescent="0.35">
      <c r="A17" s="175" t="s">
        <v>79</v>
      </c>
      <c r="B17" s="79">
        <v>8</v>
      </c>
      <c r="C17" s="80">
        <v>9.8000000000000007</v>
      </c>
      <c r="D17" s="83"/>
      <c r="E17" s="83"/>
      <c r="F17" s="83"/>
      <c r="G17" s="83"/>
      <c r="H17" s="83"/>
      <c r="I17" s="84"/>
      <c r="J17" s="91">
        <v>0</v>
      </c>
      <c r="K17" s="82">
        <v>2.4</v>
      </c>
      <c r="L17" s="82">
        <v>1.1000000000000001</v>
      </c>
      <c r="M17" s="82">
        <v>2.7</v>
      </c>
      <c r="N17" s="82">
        <v>0</v>
      </c>
      <c r="O17" s="82">
        <v>1.9</v>
      </c>
      <c r="P17" s="82">
        <v>1.9</v>
      </c>
      <c r="Q17" s="90">
        <v>0</v>
      </c>
    </row>
    <row r="18" spans="1:17" ht="16.5" customHeight="1" thickBot="1" x14ac:dyDescent="0.35">
      <c r="A18" s="176" t="s">
        <v>80</v>
      </c>
      <c r="B18" s="79">
        <v>6</v>
      </c>
      <c r="C18" s="80"/>
      <c r="D18" s="83"/>
      <c r="E18" s="83"/>
      <c r="F18" s="83"/>
      <c r="G18" s="83"/>
      <c r="H18" s="83"/>
      <c r="I18" s="84"/>
      <c r="J18" s="91"/>
      <c r="K18" s="82"/>
      <c r="L18" s="82"/>
      <c r="M18" s="82"/>
      <c r="N18" s="82"/>
      <c r="O18" s="82"/>
      <c r="P18" s="82"/>
      <c r="Q18" s="90"/>
    </row>
    <row r="19" spans="1:17" ht="16.5" customHeight="1" thickBot="1" x14ac:dyDescent="0.35">
      <c r="A19" s="177" t="s">
        <v>81</v>
      </c>
      <c r="B19" s="79">
        <v>9</v>
      </c>
      <c r="C19" s="80">
        <v>3.1</v>
      </c>
      <c r="D19" s="83"/>
      <c r="E19" s="83"/>
      <c r="F19" s="83"/>
      <c r="G19" s="83"/>
      <c r="H19" s="83"/>
      <c r="I19" s="84"/>
      <c r="J19" s="91">
        <v>7.2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90">
        <v>0</v>
      </c>
    </row>
    <row r="20" spans="1:17" ht="16.5" customHeight="1" thickBot="1" x14ac:dyDescent="0.35">
      <c r="A20" s="175" t="s">
        <v>82</v>
      </c>
      <c r="B20" s="79">
        <v>12</v>
      </c>
      <c r="C20" s="80">
        <v>3.1</v>
      </c>
      <c r="D20" s="83"/>
      <c r="E20" s="83"/>
      <c r="F20" s="83"/>
      <c r="G20" s="83"/>
      <c r="H20" s="83"/>
      <c r="I20" s="84"/>
      <c r="J20" s="91">
        <v>12.5</v>
      </c>
      <c r="K20" s="82">
        <v>0</v>
      </c>
      <c r="L20" s="82">
        <v>0</v>
      </c>
      <c r="M20" s="82">
        <v>0</v>
      </c>
      <c r="N20" s="82">
        <v>0</v>
      </c>
      <c r="O20" s="82">
        <v>0</v>
      </c>
      <c r="P20" s="82">
        <v>0</v>
      </c>
      <c r="Q20" s="90">
        <v>0</v>
      </c>
    </row>
    <row r="21" spans="1:17" ht="16.5" customHeight="1" thickBot="1" x14ac:dyDescent="0.35">
      <c r="A21" s="176" t="s">
        <v>83</v>
      </c>
      <c r="B21" s="14">
        <v>5</v>
      </c>
      <c r="C21" s="58">
        <v>6.6</v>
      </c>
      <c r="D21" s="85"/>
      <c r="E21" s="85"/>
      <c r="F21" s="85"/>
      <c r="G21" s="85"/>
      <c r="H21" s="86"/>
      <c r="I21" s="85"/>
      <c r="J21" s="92">
        <v>1.1000000000000001</v>
      </c>
      <c r="K21" s="85">
        <v>0</v>
      </c>
      <c r="L21" s="85">
        <v>2.2999999999999998</v>
      </c>
      <c r="M21" s="85">
        <v>2.7</v>
      </c>
      <c r="N21" s="85">
        <v>0</v>
      </c>
      <c r="O21" s="85">
        <v>0</v>
      </c>
      <c r="P21" s="85">
        <v>0</v>
      </c>
      <c r="Q21" s="93">
        <v>0</v>
      </c>
    </row>
    <row r="22" spans="1:17" ht="16.5" customHeight="1" thickBot="1" x14ac:dyDescent="0.35">
      <c r="A22" s="177" t="s">
        <v>84</v>
      </c>
      <c r="B22" s="18">
        <v>3</v>
      </c>
      <c r="C22" s="59">
        <v>4</v>
      </c>
      <c r="D22" s="85"/>
      <c r="E22" s="85"/>
      <c r="F22" s="85"/>
      <c r="G22" s="85"/>
      <c r="H22" s="86"/>
      <c r="I22" s="85"/>
      <c r="J22" s="94">
        <v>0</v>
      </c>
      <c r="K22" s="86">
        <v>1.9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93">
        <v>0</v>
      </c>
    </row>
    <row r="23" spans="1:17" ht="16.5" customHeight="1" thickBot="1" x14ac:dyDescent="0.35">
      <c r="A23" s="19"/>
      <c r="B23" s="54"/>
      <c r="C23" s="60"/>
      <c r="D23" s="87"/>
      <c r="E23" s="87"/>
      <c r="F23" s="87"/>
      <c r="G23" s="87"/>
      <c r="H23" s="88"/>
      <c r="I23" s="87"/>
      <c r="J23" s="95"/>
      <c r="K23" s="96"/>
      <c r="L23" s="96"/>
      <c r="M23" s="96"/>
      <c r="N23" s="96"/>
      <c r="O23" s="96"/>
      <c r="P23" s="96"/>
      <c r="Q23" s="97"/>
    </row>
    <row r="24" spans="1:17" ht="16.5" customHeight="1" thickBot="1" x14ac:dyDescent="0.35">
      <c r="A24" s="15" t="s">
        <v>6</v>
      </c>
      <c r="B24" s="55"/>
      <c r="C24" s="55"/>
      <c r="D24" s="56">
        <f>SUM(Table8[Length       (FT)])</f>
        <v>4987.4699999999993</v>
      </c>
      <c r="E24" s="56">
        <f>SUM(Table8[Excavation       (CY)])</f>
        <v>14626.630000000001</v>
      </c>
      <c r="F24" s="56">
        <f>SUM(Table8[Backfill       (CY)])</f>
        <v>11933.06</v>
      </c>
      <c r="G24" s="56">
        <f>SUM(Table8[Bedding       (CY)])</f>
        <v>741.39</v>
      </c>
      <c r="H24" s="56">
        <f>SUM(Table8[Cover       (CY)])</f>
        <v>315.94</v>
      </c>
      <c r="I24" s="56">
        <f>SUM(Table8[Export     (CY)])</f>
        <v>1592.8899999999999</v>
      </c>
      <c r="J24" s="98">
        <f>SUM(Table8[0-4])</f>
        <v>1942.59</v>
      </c>
      <c r="K24" s="99">
        <f>SUM(Table8[4-6])</f>
        <v>1772.5600000000004</v>
      </c>
      <c r="L24" s="99">
        <f>SUM(Table8[6-8])</f>
        <v>514.3599999999999</v>
      </c>
      <c r="M24" s="99">
        <f>SUM(Table8[8-10])</f>
        <v>613.24000000000012</v>
      </c>
      <c r="N24" s="99">
        <f>SUM(Table8[10-12])</f>
        <v>335.86</v>
      </c>
      <c r="O24" s="99">
        <f>SUM(Table8[12-14])</f>
        <v>236.70000000000002</v>
      </c>
      <c r="P24" s="99">
        <f>SUM(Table8[14+])</f>
        <v>165.36</v>
      </c>
      <c r="Q24" s="100">
        <f>SUM(Table8[Above])</f>
        <v>0</v>
      </c>
    </row>
    <row r="27" spans="1:17" ht="15.6" x14ac:dyDescent="0.3">
      <c r="A27" s="48" t="s">
        <v>24</v>
      </c>
      <c r="G27" s="49" t="s">
        <v>25</v>
      </c>
      <c r="H27" s="49"/>
      <c r="I27" s="49"/>
      <c r="J27" s="2"/>
    </row>
    <row r="28" spans="1:17" ht="15.6" x14ac:dyDescent="0.3">
      <c r="A28" s="50" t="s">
        <v>26</v>
      </c>
      <c r="G28" s="49" t="s">
        <v>27</v>
      </c>
      <c r="H28" s="49"/>
      <c r="I28" s="49"/>
      <c r="J28" s="2"/>
    </row>
    <row r="29" spans="1:17" ht="15.6" x14ac:dyDescent="0.3">
      <c r="A29" s="50" t="s">
        <v>28</v>
      </c>
      <c r="G29" s="49" t="s">
        <v>29</v>
      </c>
      <c r="H29" s="49"/>
      <c r="I29" s="49"/>
      <c r="J29" s="2"/>
    </row>
    <row r="30" spans="1:17" ht="15.6" x14ac:dyDescent="0.3">
      <c r="A30" s="50" t="s">
        <v>30</v>
      </c>
      <c r="F30" s="2"/>
      <c r="G30" s="2"/>
      <c r="H30" s="2"/>
      <c r="I30" s="2"/>
      <c r="J30" s="2"/>
    </row>
    <row r="31" spans="1:17" ht="15.6" x14ac:dyDescent="0.3">
      <c r="A31" s="50" t="s">
        <v>31</v>
      </c>
      <c r="F31" s="2"/>
      <c r="G31" s="2"/>
      <c r="H31" s="2"/>
      <c r="I31" s="2"/>
      <c r="J31" s="2"/>
    </row>
  </sheetData>
  <mergeCells count="2">
    <mergeCell ref="J3:Q4"/>
    <mergeCell ref="A3:I4"/>
  </mergeCells>
  <pageMargins left="0.25" right="0.25" top="0.75" bottom="0.75" header="0.3" footer="0.3"/>
  <pageSetup scale="57" fitToHeight="0"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CE89-101F-49A9-A468-FE85D21DD24F}">
  <sheetPr>
    <pageSetUpPr fitToPage="1"/>
  </sheetPr>
  <dimension ref="A1:Q23"/>
  <sheetViews>
    <sheetView workbookViewId="0">
      <selection activeCell="A16" sqref="A16"/>
    </sheetView>
  </sheetViews>
  <sheetFormatPr defaultRowHeight="14.4" x14ac:dyDescent="0.3"/>
  <cols>
    <col min="1" max="1" width="20.33203125" bestFit="1" customWidth="1"/>
    <col min="2" max="2" width="15.88671875" customWidth="1"/>
    <col min="3" max="4" width="16.6640625" customWidth="1"/>
    <col min="5" max="5" width="21.6640625" customWidth="1"/>
    <col min="6" max="6" width="17.5546875" customWidth="1"/>
    <col min="7" max="7" width="18.44140625" customWidth="1"/>
    <col min="8" max="9" width="15.44140625" customWidth="1"/>
    <col min="10" max="10" width="11.33203125" bestFit="1" customWidth="1"/>
    <col min="11" max="12" width="9.6640625" bestFit="1" customWidth="1"/>
    <col min="13" max="13" width="11.5546875" customWidth="1"/>
    <col min="14" max="15" width="12.5546875" bestFit="1" customWidth="1"/>
    <col min="16" max="16" width="10.5546875" bestFit="1" customWidth="1"/>
    <col min="17" max="17" width="13.109375" bestFit="1" customWidth="1"/>
  </cols>
  <sheetData>
    <row r="1" spans="1:17" s="2" customFormat="1" ht="33.9" customHeight="1" x14ac:dyDescent="0.25">
      <c r="A1" s="2" t="e" vm="1">
        <v>#VALUE!</v>
      </c>
      <c r="B1" s="44" t="str">
        <f>Demo!B1</f>
        <v>Riverbend Apartments</v>
      </c>
    </row>
    <row r="2" spans="1:17" s="2" customFormat="1" ht="15.75" customHeight="1" thickBot="1" x14ac:dyDescent="0.3">
      <c r="B2" s="43"/>
    </row>
    <row r="3" spans="1:17" ht="15.75" customHeight="1" x14ac:dyDescent="0.3">
      <c r="A3" s="158" t="s">
        <v>20</v>
      </c>
      <c r="B3" s="159"/>
      <c r="C3" s="159"/>
      <c r="D3" s="159"/>
      <c r="E3" s="159"/>
      <c r="F3" s="159"/>
      <c r="G3" s="159"/>
      <c r="H3" s="159"/>
      <c r="I3" s="160"/>
      <c r="J3" s="152" t="s">
        <v>21</v>
      </c>
      <c r="K3" s="153"/>
      <c r="L3" s="153"/>
      <c r="M3" s="153"/>
      <c r="N3" s="153"/>
      <c r="O3" s="153"/>
      <c r="P3" s="153"/>
      <c r="Q3" s="154"/>
    </row>
    <row r="4" spans="1:17" ht="15.75" customHeight="1" thickBot="1" x14ac:dyDescent="0.35">
      <c r="A4" s="158"/>
      <c r="B4" s="159"/>
      <c r="C4" s="159"/>
      <c r="D4" s="159"/>
      <c r="E4" s="159"/>
      <c r="F4" s="159"/>
      <c r="G4" s="159"/>
      <c r="H4" s="159"/>
      <c r="I4" s="160"/>
      <c r="J4" s="155"/>
      <c r="K4" s="156"/>
      <c r="L4" s="156"/>
      <c r="M4" s="156"/>
      <c r="N4" s="156"/>
      <c r="O4" s="156"/>
      <c r="P4" s="156"/>
      <c r="Q4" s="157"/>
    </row>
    <row r="5" spans="1:17" s="22" customFormat="1" ht="35.25" customHeight="1" thickBot="1" x14ac:dyDescent="0.35">
      <c r="A5" s="29" t="s">
        <v>0</v>
      </c>
      <c r="B5" s="30" t="s">
        <v>1</v>
      </c>
      <c r="C5" s="30" t="s">
        <v>2</v>
      </c>
      <c r="D5" s="30" t="s">
        <v>40</v>
      </c>
      <c r="E5" s="30" t="s">
        <v>41</v>
      </c>
      <c r="F5" s="30" t="s">
        <v>42</v>
      </c>
      <c r="G5" s="30" t="s">
        <v>43</v>
      </c>
      <c r="H5" s="31" t="s">
        <v>44</v>
      </c>
      <c r="I5" s="30" t="s">
        <v>39</v>
      </c>
      <c r="J5" s="32" t="s">
        <v>3</v>
      </c>
      <c r="K5" s="33" t="s">
        <v>7</v>
      </c>
      <c r="L5" s="33" t="s">
        <v>8</v>
      </c>
      <c r="M5" s="33" t="s">
        <v>9</v>
      </c>
      <c r="N5" s="33" t="s">
        <v>10</v>
      </c>
      <c r="O5" s="33" t="s">
        <v>11</v>
      </c>
      <c r="P5" s="33" t="s">
        <v>4</v>
      </c>
      <c r="Q5" s="34" t="s">
        <v>5</v>
      </c>
    </row>
    <row r="6" spans="1:17" ht="16.5" customHeight="1" thickBot="1" x14ac:dyDescent="0.35">
      <c r="A6" s="16" t="s">
        <v>91</v>
      </c>
      <c r="B6" s="109"/>
      <c r="C6" s="81">
        <v>4.4000000000000004</v>
      </c>
      <c r="D6" s="81">
        <v>287.10000000000002</v>
      </c>
      <c r="E6" s="81">
        <v>353.23</v>
      </c>
      <c r="F6" s="81">
        <v>241.36</v>
      </c>
      <c r="G6" s="81">
        <v>12.3</v>
      </c>
      <c r="H6" s="82">
        <v>22.1</v>
      </c>
      <c r="I6" s="81">
        <v>33.299999999999997</v>
      </c>
      <c r="J6" s="89">
        <v>0</v>
      </c>
      <c r="K6" s="81">
        <v>157.80000000000001</v>
      </c>
      <c r="L6" s="81">
        <v>30.9</v>
      </c>
      <c r="M6" s="81">
        <v>55.5</v>
      </c>
      <c r="N6" s="81">
        <v>0</v>
      </c>
      <c r="O6" s="81">
        <v>0</v>
      </c>
      <c r="P6" s="81">
        <v>0</v>
      </c>
      <c r="Q6" s="82">
        <v>0</v>
      </c>
    </row>
    <row r="7" spans="1:17" ht="16.5" customHeight="1" thickBot="1" x14ac:dyDescent="0.35">
      <c r="A7" s="17" t="s">
        <v>92</v>
      </c>
      <c r="B7" s="110"/>
      <c r="C7" s="85">
        <v>6.96</v>
      </c>
      <c r="D7" s="85">
        <v>1497.56</v>
      </c>
      <c r="E7" s="85">
        <v>2868.48</v>
      </c>
      <c r="F7" s="85">
        <v>0</v>
      </c>
      <c r="G7" s="85">
        <v>83.17</v>
      </c>
      <c r="H7" s="86">
        <v>2757.4</v>
      </c>
      <c r="I7" s="85">
        <v>2868.48</v>
      </c>
      <c r="J7" s="91">
        <v>26.27</v>
      </c>
      <c r="K7" s="82">
        <v>434</v>
      </c>
      <c r="L7" s="82">
        <v>583.8599999999999</v>
      </c>
      <c r="M7" s="82">
        <v>442.54</v>
      </c>
      <c r="N7" s="82">
        <v>10.89</v>
      </c>
      <c r="O7" s="82">
        <v>0</v>
      </c>
      <c r="P7" s="82">
        <v>0</v>
      </c>
      <c r="Q7" s="82">
        <v>0</v>
      </c>
    </row>
    <row r="8" spans="1:17" ht="16.5" customHeight="1" thickBot="1" x14ac:dyDescent="0.35">
      <c r="A8" s="27" t="s">
        <v>93</v>
      </c>
      <c r="B8" s="111"/>
      <c r="C8" s="86">
        <v>3.3</v>
      </c>
      <c r="D8" s="85">
        <v>659.5</v>
      </c>
      <c r="E8" s="85">
        <v>534.79999999999995</v>
      </c>
      <c r="F8" s="85">
        <v>0</v>
      </c>
      <c r="G8" s="85">
        <v>30.9</v>
      </c>
      <c r="H8" s="86">
        <v>503.8</v>
      </c>
      <c r="I8" s="85">
        <v>534.70000000000005</v>
      </c>
      <c r="J8" s="91">
        <v>55.8</v>
      </c>
      <c r="K8" s="82">
        <v>415.2</v>
      </c>
      <c r="L8" s="82">
        <v>99</v>
      </c>
      <c r="M8" s="82">
        <v>11.7</v>
      </c>
      <c r="N8" s="82">
        <v>0</v>
      </c>
      <c r="O8" s="82">
        <v>0</v>
      </c>
      <c r="P8" s="82">
        <v>0</v>
      </c>
      <c r="Q8" s="82">
        <v>0</v>
      </c>
    </row>
    <row r="9" spans="1:17" ht="16.5" customHeight="1" thickBot="1" x14ac:dyDescent="0.35">
      <c r="A9" s="27" t="s">
        <v>94</v>
      </c>
      <c r="B9" s="111">
        <v>12</v>
      </c>
      <c r="C9" s="86"/>
      <c r="D9" s="85"/>
      <c r="E9" s="85"/>
      <c r="F9" s="85"/>
      <c r="G9" s="85"/>
      <c r="H9" s="86"/>
      <c r="I9" s="85"/>
      <c r="J9" s="91"/>
      <c r="K9" s="82"/>
      <c r="L9" s="82"/>
      <c r="M9" s="82"/>
      <c r="N9" s="82"/>
      <c r="O9" s="82"/>
      <c r="P9" s="82"/>
      <c r="Q9" s="82"/>
    </row>
    <row r="10" spans="1:17" ht="16.5" customHeight="1" thickBot="1" x14ac:dyDescent="0.35">
      <c r="A10" s="27" t="s">
        <v>78</v>
      </c>
      <c r="B10" s="111">
        <v>11</v>
      </c>
      <c r="C10" s="86">
        <v>4.4000000000000004</v>
      </c>
      <c r="D10" s="85"/>
      <c r="E10" s="85"/>
      <c r="F10" s="85"/>
      <c r="G10" s="85"/>
      <c r="H10" s="86"/>
      <c r="I10" s="85"/>
      <c r="J10" s="91">
        <v>1.3</v>
      </c>
      <c r="K10" s="82">
        <v>4.9000000000000004</v>
      </c>
      <c r="L10" s="82">
        <v>5.2</v>
      </c>
      <c r="M10" s="82">
        <v>2.7</v>
      </c>
      <c r="N10" s="82">
        <v>0</v>
      </c>
      <c r="O10" s="82">
        <v>0</v>
      </c>
      <c r="P10" s="82">
        <v>0</v>
      </c>
      <c r="Q10" s="82">
        <v>0</v>
      </c>
    </row>
    <row r="11" spans="1:17" ht="16.5" customHeight="1" thickBot="1" x14ac:dyDescent="0.35">
      <c r="A11" s="27" t="s">
        <v>95</v>
      </c>
      <c r="B11" s="111">
        <v>2</v>
      </c>
      <c r="C11" s="86"/>
      <c r="D11" s="85"/>
      <c r="E11" s="85"/>
      <c r="F11" s="85"/>
      <c r="G11" s="85"/>
      <c r="H11" s="86"/>
      <c r="I11" s="85"/>
      <c r="J11" s="91"/>
      <c r="K11" s="82"/>
      <c r="L11" s="82"/>
      <c r="M11" s="82"/>
      <c r="N11" s="82"/>
      <c r="O11" s="82"/>
      <c r="P11" s="82"/>
      <c r="Q11" s="82"/>
    </row>
    <row r="12" spans="1:17" ht="16.5" customHeight="1" thickBot="1" x14ac:dyDescent="0.35">
      <c r="A12" s="27" t="s">
        <v>96</v>
      </c>
      <c r="B12" s="111">
        <v>2</v>
      </c>
      <c r="C12" s="86"/>
      <c r="D12" s="85"/>
      <c r="E12" s="85"/>
      <c r="F12" s="85"/>
      <c r="G12" s="85"/>
      <c r="H12" s="86"/>
      <c r="I12" s="85"/>
      <c r="J12" s="91"/>
      <c r="K12" s="82"/>
      <c r="L12" s="82"/>
      <c r="M12" s="82"/>
      <c r="N12" s="82"/>
      <c r="O12" s="82"/>
      <c r="P12" s="82"/>
      <c r="Q12" s="82"/>
    </row>
    <row r="13" spans="1:17" ht="16.5" customHeight="1" thickBot="1" x14ac:dyDescent="0.35">
      <c r="A13" s="27" t="s">
        <v>97</v>
      </c>
      <c r="B13" s="111">
        <v>10</v>
      </c>
      <c r="C13" s="86"/>
      <c r="D13" s="85"/>
      <c r="E13" s="85"/>
      <c r="F13" s="85"/>
      <c r="G13" s="85"/>
      <c r="H13" s="86"/>
      <c r="I13" s="85"/>
      <c r="J13" s="91"/>
      <c r="K13" s="82"/>
      <c r="L13" s="82"/>
      <c r="M13" s="82"/>
      <c r="N13" s="82"/>
      <c r="O13" s="82"/>
      <c r="P13" s="82"/>
      <c r="Q13" s="82"/>
    </row>
    <row r="14" spans="1:17" ht="16.2" thickBot="1" x14ac:dyDescent="0.35">
      <c r="A14" s="27"/>
      <c r="B14" s="111"/>
      <c r="C14" s="86"/>
      <c r="D14" s="85"/>
      <c r="E14" s="85"/>
      <c r="F14" s="85"/>
      <c r="G14" s="85"/>
      <c r="H14" s="86"/>
      <c r="I14" s="85"/>
      <c r="J14" s="91"/>
      <c r="K14" s="82"/>
      <c r="L14" s="82"/>
      <c r="M14" s="82"/>
      <c r="N14" s="82"/>
      <c r="O14" s="82"/>
      <c r="P14" s="82"/>
      <c r="Q14" s="82"/>
    </row>
    <row r="15" spans="1:17" ht="16.5" customHeight="1" thickBot="1" x14ac:dyDescent="0.35">
      <c r="A15" s="19"/>
      <c r="B15" s="112"/>
      <c r="C15" s="101"/>
      <c r="D15" s="101"/>
      <c r="E15" s="87"/>
      <c r="F15" s="87"/>
      <c r="G15" s="87"/>
      <c r="H15" s="88"/>
      <c r="I15" s="87"/>
      <c r="J15" s="102"/>
      <c r="K15" s="87"/>
      <c r="L15" s="87"/>
      <c r="M15" s="87"/>
      <c r="N15" s="87"/>
      <c r="O15" s="87"/>
      <c r="P15" s="87"/>
      <c r="Q15" s="88"/>
    </row>
    <row r="16" spans="1:17" ht="16.5" customHeight="1" thickBot="1" x14ac:dyDescent="0.35">
      <c r="A16" s="28" t="s">
        <v>6</v>
      </c>
      <c r="B16" s="103"/>
      <c r="C16" s="104"/>
      <c r="D16" s="105">
        <f>SUM(Table3[Length       (FT)])</f>
        <v>2444.16</v>
      </c>
      <c r="E16" s="106">
        <f>SUM(Table3[Excavation       (CY)])</f>
        <v>3756.51</v>
      </c>
      <c r="F16" s="106">
        <f>SUM(Table3[Backfill       (CY)])</f>
        <v>241.36</v>
      </c>
      <c r="G16" s="106">
        <f>SUM(Table3[Bedding       (CY)])</f>
        <v>126.37</v>
      </c>
      <c r="H16" s="107">
        <f>SUM(Table3[Cover       (FT)])</f>
        <v>3283.3</v>
      </c>
      <c r="I16" s="108">
        <f>SUM(Table3[Export     (CY)])</f>
        <v>3436.4800000000005</v>
      </c>
      <c r="J16" s="105">
        <f>SUM(Table3[0-4])</f>
        <v>83.36999999999999</v>
      </c>
      <c r="K16" s="105">
        <f>SUM(Table3[4-6])</f>
        <v>1011.9</v>
      </c>
      <c r="L16" s="105">
        <f>SUM(Table3[6-8])</f>
        <v>718.95999999999992</v>
      </c>
      <c r="M16" s="105">
        <f>SUM(Table3[8-10])</f>
        <v>512.44000000000005</v>
      </c>
      <c r="N16" s="105">
        <f>SUM(Table3[10-12])</f>
        <v>10.89</v>
      </c>
      <c r="O16" s="105">
        <f>SUM(Table3[12-14])</f>
        <v>0</v>
      </c>
      <c r="P16" s="105">
        <f>SUM(Table3[14+])</f>
        <v>0</v>
      </c>
      <c r="Q16" s="105">
        <f>SUM(Table3[Above])</f>
        <v>0</v>
      </c>
    </row>
    <row r="19" spans="1:10" ht="15.6" x14ac:dyDescent="0.3">
      <c r="A19" s="48" t="s">
        <v>24</v>
      </c>
      <c r="G19" s="49" t="s">
        <v>25</v>
      </c>
      <c r="H19" s="49"/>
      <c r="I19" s="49"/>
      <c r="J19" s="2"/>
    </row>
    <row r="20" spans="1:10" ht="15.6" x14ac:dyDescent="0.3">
      <c r="A20" s="50" t="s">
        <v>26</v>
      </c>
      <c r="G20" s="49" t="s">
        <v>27</v>
      </c>
      <c r="H20" s="49"/>
      <c r="I20" s="49"/>
      <c r="J20" s="2"/>
    </row>
    <row r="21" spans="1:10" ht="15.6" x14ac:dyDescent="0.3">
      <c r="A21" s="50" t="s">
        <v>28</v>
      </c>
      <c r="G21" s="49" t="s">
        <v>29</v>
      </c>
      <c r="H21" s="49"/>
      <c r="I21" s="49"/>
      <c r="J21" s="2"/>
    </row>
    <row r="22" spans="1:10" ht="15.6" x14ac:dyDescent="0.3">
      <c r="A22" s="50" t="s">
        <v>30</v>
      </c>
      <c r="F22" s="2"/>
      <c r="G22" s="2"/>
      <c r="H22" s="2"/>
      <c r="I22" s="2"/>
      <c r="J22" s="2"/>
    </row>
    <row r="23" spans="1:10" ht="15.6" x14ac:dyDescent="0.3">
      <c r="A23" s="50" t="s">
        <v>31</v>
      </c>
      <c r="F23" s="2"/>
      <c r="G23" s="2"/>
      <c r="H23" s="2"/>
      <c r="I23" s="2"/>
      <c r="J23" s="2"/>
    </row>
  </sheetData>
  <mergeCells count="2">
    <mergeCell ref="J3:Q4"/>
    <mergeCell ref="A3:I4"/>
  </mergeCells>
  <pageMargins left="0.25" right="0.25" top="0.75" bottom="0.75" header="0.3" footer="0.3"/>
  <pageSetup scale="53" fitToHeight="0" orientation="landscape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351C-FB6F-4C34-BF54-CF9CFD6B8CB3}">
  <sheetPr>
    <pageSetUpPr fitToPage="1"/>
  </sheetPr>
  <dimension ref="A1:Q26"/>
  <sheetViews>
    <sheetView workbookViewId="0">
      <selection activeCell="A19" sqref="A19"/>
    </sheetView>
  </sheetViews>
  <sheetFormatPr defaultColWidth="9.109375" defaultRowHeight="15.6" x14ac:dyDescent="0.3"/>
  <cols>
    <col min="1" max="1" width="24.21875" style="1" customWidth="1"/>
    <col min="2" max="2" width="10.44140625" style="1" bestFit="1" customWidth="1"/>
    <col min="3" max="9" width="14.44140625" style="1" customWidth="1"/>
    <col min="10" max="10" width="11.33203125" style="1" bestFit="1" customWidth="1"/>
    <col min="11" max="12" width="9.6640625" style="1" bestFit="1" customWidth="1"/>
    <col min="13" max="13" width="11.109375" style="1" bestFit="1" customWidth="1"/>
    <col min="14" max="15" width="12.5546875" style="1" bestFit="1" customWidth="1"/>
    <col min="16" max="16" width="10.5546875" style="1" bestFit="1" customWidth="1"/>
    <col min="17" max="17" width="13.109375" style="1" bestFit="1" customWidth="1"/>
    <col min="18" max="16384" width="9.109375" style="1"/>
  </cols>
  <sheetData>
    <row r="1" spans="1:17" s="2" customFormat="1" ht="33.9" customHeight="1" x14ac:dyDescent="0.25">
      <c r="A1" s="2" t="e" vm="1">
        <v>#VALUE!</v>
      </c>
      <c r="B1" s="44" t="str">
        <f>Demo!B1</f>
        <v>Riverbend Apartments</v>
      </c>
    </row>
    <row r="2" spans="1:17" s="2" customFormat="1" ht="15.75" customHeight="1" thickBot="1" x14ac:dyDescent="0.3">
      <c r="B2" s="43"/>
    </row>
    <row r="3" spans="1:17" x14ac:dyDescent="0.3">
      <c r="A3" s="167" t="s">
        <v>22</v>
      </c>
      <c r="B3" s="168"/>
      <c r="C3" s="168"/>
      <c r="D3" s="168"/>
      <c r="E3" s="168"/>
      <c r="F3" s="168"/>
      <c r="G3" s="168"/>
      <c r="H3" s="168"/>
      <c r="I3" s="169"/>
      <c r="J3" s="161" t="s">
        <v>19</v>
      </c>
      <c r="K3" s="162"/>
      <c r="L3" s="162"/>
      <c r="M3" s="162"/>
      <c r="N3" s="162"/>
      <c r="O3" s="162"/>
      <c r="P3" s="162"/>
      <c r="Q3" s="163"/>
    </row>
    <row r="4" spans="1:17" ht="16.2" thickBot="1" x14ac:dyDescent="0.35">
      <c r="A4" s="167"/>
      <c r="B4" s="168"/>
      <c r="C4" s="168"/>
      <c r="D4" s="168"/>
      <c r="E4" s="168"/>
      <c r="F4" s="168"/>
      <c r="G4" s="168"/>
      <c r="H4" s="168"/>
      <c r="I4" s="169"/>
      <c r="J4" s="164"/>
      <c r="K4" s="165"/>
      <c r="L4" s="165"/>
      <c r="M4" s="165"/>
      <c r="N4" s="165"/>
      <c r="O4" s="165"/>
      <c r="P4" s="165"/>
      <c r="Q4" s="166"/>
    </row>
    <row r="5" spans="1:17" ht="30.6" thickBot="1" x14ac:dyDescent="0.35">
      <c r="A5" s="35" t="s">
        <v>0</v>
      </c>
      <c r="B5" s="36" t="s">
        <v>1</v>
      </c>
      <c r="C5" s="36" t="s">
        <v>2</v>
      </c>
      <c r="D5" s="36" t="s">
        <v>45</v>
      </c>
      <c r="E5" s="36" t="s">
        <v>46</v>
      </c>
      <c r="F5" s="36" t="s">
        <v>47</v>
      </c>
      <c r="G5" s="36" t="s">
        <v>48</v>
      </c>
      <c r="H5" s="38" t="s">
        <v>49</v>
      </c>
      <c r="I5" s="38" t="s">
        <v>50</v>
      </c>
      <c r="J5" s="39" t="s">
        <v>3</v>
      </c>
      <c r="K5" s="40" t="s">
        <v>7</v>
      </c>
      <c r="L5" s="40" t="s">
        <v>8</v>
      </c>
      <c r="M5" s="40" t="s">
        <v>9</v>
      </c>
      <c r="N5" s="40" t="s">
        <v>10</v>
      </c>
      <c r="O5" s="40" t="s">
        <v>11</v>
      </c>
      <c r="P5" s="40" t="s">
        <v>4</v>
      </c>
      <c r="Q5" s="41" t="s">
        <v>5</v>
      </c>
    </row>
    <row r="6" spans="1:17" ht="16.5" customHeight="1" thickBot="1" x14ac:dyDescent="0.35">
      <c r="A6" s="37" t="s">
        <v>98</v>
      </c>
      <c r="B6" s="114"/>
      <c r="C6" s="62">
        <v>3.4</v>
      </c>
      <c r="D6" s="62">
        <v>1775.03</v>
      </c>
      <c r="E6" s="62">
        <v>915.9</v>
      </c>
      <c r="F6" s="62">
        <v>0</v>
      </c>
      <c r="G6" s="62">
        <v>97.7</v>
      </c>
      <c r="H6" s="113">
        <v>790.9</v>
      </c>
      <c r="I6" s="113">
        <v>915.7</v>
      </c>
      <c r="J6" s="61">
        <v>1175.97</v>
      </c>
      <c r="K6" s="62">
        <v>744.07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3">
        <v>0</v>
      </c>
    </row>
    <row r="7" spans="1:17" ht="16.5" customHeight="1" thickBot="1" x14ac:dyDescent="0.35">
      <c r="A7" s="37" t="s">
        <v>99</v>
      </c>
      <c r="B7" s="114"/>
      <c r="C7" s="62">
        <v>3.1</v>
      </c>
      <c r="D7" s="62">
        <v>911.24</v>
      </c>
      <c r="E7" s="62">
        <v>350.45</v>
      </c>
      <c r="F7" s="62">
        <v>0</v>
      </c>
      <c r="G7" s="62">
        <v>42.2</v>
      </c>
      <c r="H7" s="113">
        <v>315.89999999999998</v>
      </c>
      <c r="I7" s="113">
        <v>371.1</v>
      </c>
      <c r="J7" s="61">
        <v>796.3</v>
      </c>
      <c r="K7" s="62">
        <v>97.7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3">
        <v>0</v>
      </c>
    </row>
    <row r="8" spans="1:17" ht="16.5" customHeight="1" thickBot="1" x14ac:dyDescent="0.35">
      <c r="A8" s="37" t="s">
        <v>96</v>
      </c>
      <c r="B8" s="114">
        <v>1</v>
      </c>
      <c r="C8" s="62"/>
      <c r="D8" s="62"/>
      <c r="E8" s="62"/>
      <c r="F8" s="62"/>
      <c r="G8" s="62"/>
      <c r="H8" s="113"/>
      <c r="I8" s="113"/>
      <c r="J8" s="61"/>
      <c r="K8" s="62"/>
      <c r="L8" s="62"/>
      <c r="M8" s="62"/>
      <c r="N8" s="62"/>
      <c r="O8" s="62"/>
      <c r="P8" s="62"/>
      <c r="Q8" s="63"/>
    </row>
    <row r="9" spans="1:17" ht="16.5" customHeight="1" thickBot="1" x14ac:dyDescent="0.35">
      <c r="A9" s="37" t="s">
        <v>100</v>
      </c>
      <c r="B9" s="114">
        <v>15</v>
      </c>
      <c r="C9" s="62"/>
      <c r="D9" s="62"/>
      <c r="E9" s="62"/>
      <c r="F9" s="62"/>
      <c r="G9" s="62"/>
      <c r="H9" s="113"/>
      <c r="I9" s="113"/>
      <c r="J9" s="61"/>
      <c r="K9" s="62"/>
      <c r="L9" s="62"/>
      <c r="M9" s="62"/>
      <c r="N9" s="62"/>
      <c r="O9" s="62"/>
      <c r="P9" s="62"/>
      <c r="Q9" s="63"/>
    </row>
    <row r="10" spans="1:17" ht="16.5" customHeight="1" thickBot="1" x14ac:dyDescent="0.35">
      <c r="A10" s="37" t="s">
        <v>102</v>
      </c>
      <c r="B10" s="114">
        <v>4</v>
      </c>
      <c r="C10" s="62"/>
      <c r="D10" s="62"/>
      <c r="E10" s="62"/>
      <c r="F10" s="62"/>
      <c r="G10" s="62"/>
      <c r="H10" s="113"/>
      <c r="I10" s="113"/>
      <c r="J10" s="61"/>
      <c r="K10" s="62"/>
      <c r="L10" s="62"/>
      <c r="M10" s="62"/>
      <c r="N10" s="62"/>
      <c r="O10" s="62"/>
      <c r="P10" s="62"/>
      <c r="Q10" s="63"/>
    </row>
    <row r="11" spans="1:17" ht="16.5" customHeight="1" thickBot="1" x14ac:dyDescent="0.35">
      <c r="A11" s="37" t="s">
        <v>101</v>
      </c>
      <c r="B11" s="114">
        <v>13</v>
      </c>
      <c r="C11" s="62"/>
      <c r="D11" s="62"/>
      <c r="E11" s="62"/>
      <c r="F11" s="62"/>
      <c r="G11" s="62"/>
      <c r="H11" s="113"/>
      <c r="I11" s="113"/>
      <c r="J11" s="61"/>
      <c r="K11" s="62"/>
      <c r="L11" s="62"/>
      <c r="M11" s="62"/>
      <c r="N11" s="62"/>
      <c r="O11" s="62"/>
      <c r="P11" s="62"/>
      <c r="Q11" s="63"/>
    </row>
    <row r="12" spans="1:17" ht="16.5" customHeight="1" thickBot="1" x14ac:dyDescent="0.35">
      <c r="A12" s="37" t="s">
        <v>103</v>
      </c>
      <c r="B12" s="114">
        <v>6</v>
      </c>
      <c r="C12" s="62"/>
      <c r="D12" s="62"/>
      <c r="E12" s="62"/>
      <c r="F12" s="62"/>
      <c r="G12" s="62"/>
      <c r="H12" s="113"/>
      <c r="I12" s="113"/>
      <c r="J12" s="61"/>
      <c r="K12" s="62"/>
      <c r="L12" s="62"/>
      <c r="M12" s="62"/>
      <c r="N12" s="62"/>
      <c r="O12" s="62"/>
      <c r="P12" s="62"/>
      <c r="Q12" s="63"/>
    </row>
    <row r="13" spans="1:17" ht="16.5" customHeight="1" thickBot="1" x14ac:dyDescent="0.35">
      <c r="A13" s="37" t="s">
        <v>107</v>
      </c>
      <c r="B13" s="114">
        <v>3</v>
      </c>
      <c r="C13" s="62"/>
      <c r="D13" s="62"/>
      <c r="E13" s="62"/>
      <c r="F13" s="62"/>
      <c r="G13" s="62"/>
      <c r="H13" s="113"/>
      <c r="I13" s="113"/>
      <c r="J13" s="61"/>
      <c r="K13" s="62"/>
      <c r="L13" s="62"/>
      <c r="M13" s="62"/>
      <c r="N13" s="62"/>
      <c r="O13" s="62"/>
      <c r="P13" s="62"/>
      <c r="Q13" s="63"/>
    </row>
    <row r="14" spans="1:17" ht="16.5" customHeight="1" thickBot="1" x14ac:dyDescent="0.35">
      <c r="A14" s="37" t="s">
        <v>104</v>
      </c>
      <c r="B14" s="114">
        <v>1</v>
      </c>
      <c r="C14" s="62"/>
      <c r="D14" s="62"/>
      <c r="E14" s="62"/>
      <c r="F14" s="62"/>
      <c r="G14" s="62"/>
      <c r="H14" s="113"/>
      <c r="I14" s="113"/>
      <c r="J14" s="61"/>
      <c r="K14" s="62"/>
      <c r="L14" s="62"/>
      <c r="M14" s="62"/>
      <c r="N14" s="62"/>
      <c r="O14" s="62"/>
      <c r="P14" s="62"/>
      <c r="Q14" s="63"/>
    </row>
    <row r="15" spans="1:17" ht="16.5" customHeight="1" thickBot="1" x14ac:dyDescent="0.35">
      <c r="A15" s="37" t="s">
        <v>105</v>
      </c>
      <c r="B15" s="114">
        <v>1</v>
      </c>
      <c r="C15" s="62"/>
      <c r="D15" s="62"/>
      <c r="E15" s="62"/>
      <c r="F15" s="62"/>
      <c r="G15" s="62"/>
      <c r="H15" s="113"/>
      <c r="I15" s="113"/>
      <c r="J15" s="61"/>
      <c r="K15" s="62"/>
      <c r="L15" s="62"/>
      <c r="M15" s="62"/>
      <c r="N15" s="62"/>
      <c r="O15" s="62"/>
      <c r="P15" s="62"/>
      <c r="Q15" s="63"/>
    </row>
    <row r="16" spans="1:17" ht="16.5" customHeight="1" thickBot="1" x14ac:dyDescent="0.35">
      <c r="A16" s="37" t="s">
        <v>106</v>
      </c>
      <c r="B16" s="114">
        <v>17</v>
      </c>
      <c r="C16" s="62"/>
      <c r="D16" s="62"/>
      <c r="E16" s="62"/>
      <c r="F16" s="62"/>
      <c r="G16" s="62"/>
      <c r="H16" s="113"/>
      <c r="I16" s="113"/>
      <c r="J16" s="61"/>
      <c r="K16" s="62"/>
      <c r="L16" s="62"/>
      <c r="M16" s="62"/>
      <c r="N16" s="62"/>
      <c r="O16" s="62"/>
      <c r="P16" s="62"/>
      <c r="Q16" s="63"/>
    </row>
    <row r="17" spans="1:17" ht="16.5" customHeight="1" thickBot="1" x14ac:dyDescent="0.35">
      <c r="A17" s="37"/>
      <c r="B17" s="114"/>
      <c r="C17" s="62"/>
      <c r="D17" s="62"/>
      <c r="E17" s="62"/>
      <c r="F17" s="62"/>
      <c r="G17" s="62"/>
      <c r="H17" s="113"/>
      <c r="I17" s="113"/>
      <c r="J17" s="61"/>
      <c r="K17" s="62"/>
      <c r="L17" s="62"/>
      <c r="M17" s="62"/>
      <c r="N17" s="62"/>
      <c r="O17" s="62"/>
      <c r="P17" s="62"/>
      <c r="Q17" s="63"/>
    </row>
    <row r="18" spans="1:17" ht="16.5" customHeight="1" thickBot="1" x14ac:dyDescent="0.35">
      <c r="A18" s="122"/>
      <c r="B18" s="123"/>
      <c r="C18" s="124"/>
      <c r="D18" s="124"/>
      <c r="E18" s="124"/>
      <c r="F18" s="124"/>
      <c r="G18" s="124"/>
      <c r="H18" s="125"/>
      <c r="I18" s="125"/>
      <c r="J18" s="126"/>
      <c r="K18" s="124"/>
      <c r="L18" s="124"/>
      <c r="M18" s="124"/>
      <c r="N18" s="124"/>
      <c r="O18" s="124"/>
      <c r="P18" s="124"/>
      <c r="Q18" s="97"/>
    </row>
    <row r="19" spans="1:17" ht="16.5" customHeight="1" thickBot="1" x14ac:dyDescent="0.35">
      <c r="A19" s="115" t="s">
        <v>6</v>
      </c>
      <c r="B19" s="116"/>
      <c r="C19" s="128"/>
      <c r="D19" s="127">
        <f t="shared" ref="D19:Q19" si="0">SUM(D6:D18)</f>
        <v>2686.27</v>
      </c>
      <c r="E19" s="117">
        <f t="shared" si="0"/>
        <v>1266.3499999999999</v>
      </c>
      <c r="F19" s="117">
        <f t="shared" si="0"/>
        <v>0</v>
      </c>
      <c r="G19" s="117">
        <f t="shared" si="0"/>
        <v>139.9</v>
      </c>
      <c r="H19" s="118">
        <f t="shared" si="0"/>
        <v>1106.8</v>
      </c>
      <c r="I19" s="118">
        <f t="shared" si="0"/>
        <v>1286.8000000000002</v>
      </c>
      <c r="J19" s="119">
        <f t="shared" si="0"/>
        <v>1972.27</v>
      </c>
      <c r="K19" s="120">
        <f t="shared" si="0"/>
        <v>841.7700000000001</v>
      </c>
      <c r="L19" s="120">
        <f t="shared" si="0"/>
        <v>0</v>
      </c>
      <c r="M19" s="120">
        <f t="shared" si="0"/>
        <v>0</v>
      </c>
      <c r="N19" s="120">
        <f t="shared" si="0"/>
        <v>0</v>
      </c>
      <c r="O19" s="120">
        <f t="shared" si="0"/>
        <v>0</v>
      </c>
      <c r="P19" s="120">
        <f t="shared" si="0"/>
        <v>0</v>
      </c>
      <c r="Q19" s="121">
        <f t="shared" si="0"/>
        <v>0</v>
      </c>
    </row>
    <row r="22" spans="1:17" x14ac:dyDescent="0.3">
      <c r="A22" s="48" t="s">
        <v>24</v>
      </c>
      <c r="B22"/>
      <c r="C22"/>
      <c r="D22"/>
      <c r="E22"/>
      <c r="G22" s="49" t="s">
        <v>25</v>
      </c>
      <c r="H22" s="49"/>
      <c r="I22" s="49"/>
      <c r="J22" s="2"/>
    </row>
    <row r="23" spans="1:17" x14ac:dyDescent="0.3">
      <c r="A23" s="50" t="s">
        <v>26</v>
      </c>
      <c r="B23"/>
      <c r="C23"/>
      <c r="D23"/>
      <c r="E23"/>
      <c r="G23" s="49" t="s">
        <v>27</v>
      </c>
      <c r="H23" s="49"/>
      <c r="I23" s="49"/>
      <c r="J23" s="2"/>
    </row>
    <row r="24" spans="1:17" x14ac:dyDescent="0.3">
      <c r="A24" s="50" t="s">
        <v>28</v>
      </c>
      <c r="B24"/>
      <c r="C24"/>
      <c r="D24"/>
      <c r="E24"/>
      <c r="G24" s="49" t="s">
        <v>29</v>
      </c>
      <c r="H24" s="49"/>
      <c r="I24" s="49"/>
      <c r="J24" s="2"/>
    </row>
    <row r="25" spans="1:17" x14ac:dyDescent="0.3">
      <c r="A25" s="50" t="s">
        <v>30</v>
      </c>
      <c r="B25"/>
      <c r="C25"/>
      <c r="D25"/>
      <c r="E25"/>
      <c r="F25" s="2"/>
      <c r="G25" s="2"/>
      <c r="H25" s="2"/>
      <c r="I25" s="2"/>
      <c r="J25" s="2"/>
    </row>
    <row r="26" spans="1:17" x14ac:dyDescent="0.3">
      <c r="A26" s="50" t="s">
        <v>31</v>
      </c>
      <c r="B26"/>
      <c r="C26"/>
      <c r="D26"/>
      <c r="E26"/>
      <c r="F26" s="2"/>
      <c r="G26" s="2"/>
      <c r="H26" s="2"/>
      <c r="I26" s="2"/>
      <c r="J26" s="2"/>
    </row>
  </sheetData>
  <mergeCells count="2">
    <mergeCell ref="J3:Q4"/>
    <mergeCell ref="A3:I4"/>
  </mergeCells>
  <pageMargins left="0.25" right="0.25" top="0.75" bottom="0.75" header="0.3" footer="0.3"/>
  <pageSetup scale="57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08CB-597E-487F-A582-F173860266FC}">
  <sheetPr>
    <pageSetUpPr fitToPage="1"/>
  </sheetPr>
  <dimension ref="A1:D28"/>
  <sheetViews>
    <sheetView workbookViewId="0">
      <selection activeCell="A21" sqref="A21"/>
    </sheetView>
  </sheetViews>
  <sheetFormatPr defaultRowHeight="14.4" x14ac:dyDescent="0.3"/>
  <cols>
    <col min="1" max="1" width="28.21875" customWidth="1"/>
    <col min="2" max="2" width="15.88671875" customWidth="1"/>
    <col min="3" max="4" width="16.6640625" customWidth="1"/>
  </cols>
  <sheetData>
    <row r="1" spans="1:4" s="2" customFormat="1" ht="33.9" customHeight="1" x14ac:dyDescent="0.25">
      <c r="A1" s="2" t="e" vm="1">
        <v>#VALUE!</v>
      </c>
      <c r="B1" s="44" t="str">
        <f>Demo!B1</f>
        <v>Riverbend Apartments</v>
      </c>
    </row>
    <row r="2" spans="1:4" s="2" customFormat="1" ht="15.75" customHeight="1" thickBot="1" x14ac:dyDescent="0.3">
      <c r="B2" s="43"/>
    </row>
    <row r="3" spans="1:4" ht="15.75" customHeight="1" x14ac:dyDescent="0.3">
      <c r="A3" s="170" t="s">
        <v>54</v>
      </c>
      <c r="B3" s="171"/>
      <c r="C3" s="171"/>
      <c r="D3" s="171"/>
    </row>
    <row r="4" spans="1:4" ht="15.75" customHeight="1" x14ac:dyDescent="0.3">
      <c r="A4" s="172"/>
      <c r="B4" s="173"/>
      <c r="C4" s="173"/>
      <c r="D4" s="173"/>
    </row>
    <row r="5" spans="1:4" s="22" customFormat="1" ht="35.25" customHeight="1" thickBot="1" x14ac:dyDescent="0.35">
      <c r="A5" s="68" t="s">
        <v>0</v>
      </c>
      <c r="B5" s="68" t="s">
        <v>1</v>
      </c>
      <c r="C5" s="68" t="s">
        <v>13</v>
      </c>
      <c r="D5" s="69" t="s">
        <v>53</v>
      </c>
    </row>
    <row r="6" spans="1:4" ht="15.6" thickBot="1" x14ac:dyDescent="0.35">
      <c r="A6" s="45" t="s">
        <v>68</v>
      </c>
      <c r="B6" s="45"/>
      <c r="C6" s="45"/>
      <c r="D6" s="45">
        <v>4814</v>
      </c>
    </row>
    <row r="7" spans="1:4" ht="15.6" thickBot="1" x14ac:dyDescent="0.35">
      <c r="A7" s="45"/>
      <c r="B7" s="45"/>
      <c r="C7" s="45"/>
      <c r="D7" s="45"/>
    </row>
    <row r="8" spans="1:4" ht="15.6" thickBot="1" x14ac:dyDescent="0.35">
      <c r="A8" s="45"/>
      <c r="B8" s="45"/>
      <c r="C8" s="45"/>
      <c r="D8" s="45"/>
    </row>
    <row r="9" spans="1:4" ht="15.6" thickBot="1" x14ac:dyDescent="0.35">
      <c r="A9" s="45"/>
      <c r="B9" s="45"/>
      <c r="C9" s="45"/>
      <c r="D9" s="45"/>
    </row>
    <row r="10" spans="1:4" ht="15.6" thickBot="1" x14ac:dyDescent="0.35">
      <c r="A10" s="45"/>
      <c r="B10" s="45"/>
      <c r="C10" s="45"/>
      <c r="D10" s="45"/>
    </row>
    <row r="11" spans="1:4" ht="15.6" thickBot="1" x14ac:dyDescent="0.35">
      <c r="A11" s="45"/>
      <c r="B11" s="45"/>
      <c r="C11" s="45"/>
      <c r="D11" s="45"/>
    </row>
    <row r="12" spans="1:4" ht="15.6" thickBot="1" x14ac:dyDescent="0.35">
      <c r="A12" s="45"/>
      <c r="B12" s="45"/>
      <c r="C12" s="45"/>
      <c r="D12" s="45"/>
    </row>
    <row r="13" spans="1:4" ht="15.6" thickBot="1" x14ac:dyDescent="0.35">
      <c r="A13" s="45"/>
      <c r="B13" s="45"/>
      <c r="C13" s="45"/>
      <c r="D13" s="45"/>
    </row>
    <row r="14" spans="1:4" ht="15.6" thickBot="1" x14ac:dyDescent="0.35">
      <c r="A14" s="45"/>
      <c r="B14" s="45"/>
      <c r="C14" s="45"/>
      <c r="D14" s="45"/>
    </row>
    <row r="15" spans="1:4" ht="15.6" thickBot="1" x14ac:dyDescent="0.35">
      <c r="A15" s="73"/>
      <c r="B15" s="45"/>
      <c r="C15" s="45"/>
      <c r="D15" s="45"/>
    </row>
    <row r="16" spans="1:4" ht="15.6" thickBot="1" x14ac:dyDescent="0.35">
      <c r="A16" s="45"/>
      <c r="B16" s="45"/>
      <c r="C16" s="45"/>
      <c r="D16" s="45"/>
    </row>
    <row r="17" spans="1:4" ht="15.6" thickBot="1" x14ac:dyDescent="0.35">
      <c r="A17" s="45"/>
      <c r="B17" s="45"/>
      <c r="C17" s="45"/>
      <c r="D17" s="45"/>
    </row>
    <row r="18" spans="1:4" ht="15.6" thickBot="1" x14ac:dyDescent="0.35">
      <c r="A18" s="45"/>
      <c r="B18" s="45"/>
      <c r="C18" s="45"/>
      <c r="D18" s="45"/>
    </row>
    <row r="19" spans="1:4" ht="15.6" thickBot="1" x14ac:dyDescent="0.35">
      <c r="A19" s="45"/>
      <c r="B19" s="45"/>
      <c r="C19" s="45"/>
      <c r="D19" s="45"/>
    </row>
    <row r="20" spans="1:4" ht="15.6" thickBot="1" x14ac:dyDescent="0.35">
      <c r="A20" s="45"/>
      <c r="B20" s="45"/>
      <c r="C20" s="45"/>
      <c r="D20" s="45"/>
    </row>
    <row r="21" spans="1:4" ht="16.5" customHeight="1" thickBot="1" x14ac:dyDescent="0.35">
      <c r="A21" s="70"/>
      <c r="B21" s="71"/>
      <c r="C21" s="71"/>
      <c r="D21" s="72"/>
    </row>
    <row r="24" spans="1:4" x14ac:dyDescent="0.3">
      <c r="A24" s="48" t="s">
        <v>24</v>
      </c>
    </row>
    <row r="25" spans="1:4" x14ac:dyDescent="0.3">
      <c r="A25" s="50" t="s">
        <v>26</v>
      </c>
    </row>
    <row r="26" spans="1:4" x14ac:dyDescent="0.3">
      <c r="A26" s="50" t="s">
        <v>28</v>
      </c>
    </row>
    <row r="27" spans="1:4" x14ac:dyDescent="0.3">
      <c r="A27" s="50" t="s">
        <v>30</v>
      </c>
    </row>
    <row r="28" spans="1:4" x14ac:dyDescent="0.3">
      <c r="A28" s="50" t="s">
        <v>31</v>
      </c>
    </row>
  </sheetData>
  <mergeCells count="1">
    <mergeCell ref="A3:D4"/>
  </mergeCells>
  <pageMargins left="0.25" right="0.25" top="0.75" bottom="0.75" header="0.3" footer="0.3"/>
  <pageSetup fitToHeight="0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k m W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B k m W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Z J l l o o i k e 4 D g A A A B E A A A A T A B w A R m 9 y b X V s Y X M v U 2 V j d G l v b j E u b S C i G A A o o B Q A A A A A A A A A A A A A A A A A A A A A A A A A A A A r T k 0 u y c z P U w i G 0 I b W A F B L A Q I t A B Q A A g A I A A Z J l l o k 7 I e k p A A A A P Y A A A A S A A A A A A A A A A A A A A A A A A A A A A B D b 2 5 m a W c v U G F j a 2 F n Z S 5 4 b W x Q S w E C L Q A U A A I A C A A G S Z Z a D 8 r p q 6 Q A A A D p A A A A E w A A A A A A A A A A A A A A A A D w A A A A W 0 N v b n R l b n R f V H l w Z X N d L n h t b F B L A Q I t A B Q A A g A I A A Z J l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1 1 F U 6 g s E g T I J h w S x 8 M r f A A A A A A A I A A A A A A B B m A A A A A Q A A I A A A A M 8 a a 4 i K 9 R j I o p r B 1 P w k w w 1 N K X S 0 y x O B H v 0 U H b X B 9 S O x A A A A A A 6 A A A A A A g A A I A A A A D P Q x / a M L D n c I y l 3 u r r 6 F + E m S i v C F o C O v l t p R E t l C e B b U A A A A D Z c H I + t y 2 N E X q y T 0 b V S c j w E p A s P 7 k E H m H e w V l u m V w m Y C y f E A 6 f Y 1 7 5 n s 2 x V J g p T d t H 7 T 2 R y P i 8 0 H B B 6 5 X t H i g J b A K Z w v L v X b Z Z m Q N E i P 5 C q Q A A A A C q V 6 x 4 n S U V K z l I T x R u u T v t i X A u + c Z d F K V f 7 C 0 X z C d l 2 5 V 0 N c 2 O L Q z l V L L 1 F j 3 y n L b C O P i I 3 D C 9 h P 3 s Y k 0 P f 5 h w = < / D a t a M a s h u p > 
</file>

<file path=customXml/itemProps1.xml><?xml version="1.0" encoding="utf-8"?>
<ds:datastoreItem xmlns:ds="http://schemas.openxmlformats.org/officeDocument/2006/customXml" ds:itemID="{32699D48-B154-4F6A-B2DB-A5BBC5A339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SWPP</vt:lpstr>
      <vt:lpstr>Demo</vt:lpstr>
      <vt:lpstr>Earthwork</vt:lpstr>
      <vt:lpstr>Storm Pipe</vt:lpstr>
      <vt:lpstr>Sewer Pipe</vt:lpstr>
      <vt:lpstr>Water Pipe</vt:lpstr>
      <vt:lpstr>Misc.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Schnierlein</dc:creator>
  <cp:lastModifiedBy>Joseph Schnierlein</cp:lastModifiedBy>
  <cp:lastPrinted>2025-06-11T12:23:20Z</cp:lastPrinted>
  <dcterms:created xsi:type="dcterms:W3CDTF">2025-04-22T13:00:41Z</dcterms:created>
  <dcterms:modified xsi:type="dcterms:W3CDTF">2025-06-21T13:23:56Z</dcterms:modified>
</cp:coreProperties>
</file>